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bcdaa10a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-MR管理図" sheetId="1" r:id="R73fa61670250460e"/>
  </x:sheets>
  <x:definedNames>
    <x:definedName name="IMR_IX">'I-MR管理図'!$G$70:INDEX('I-MR管理図'!$G$70:$G$269,MAX(1,'I-MR管理図'!$H$10-0))</x:definedName>
    <x:definedName name="IMR_IV">'I-MR管理図'!$H$70:INDEX('I-MR管理図'!$H$70:$H$269,MAX(1,'I-MR管理図'!$H$10-0))</x:definedName>
    <x:definedName name="IMR_IC">'I-MR管理図'!$I$70:INDEX('I-MR管理図'!$I$70:$I$269,MAX(1,'I-MR管理図'!$H$10-0))</x:definedName>
    <x:definedName name="IMR_IU">'I-MR管理図'!$J$70:INDEX('I-MR管理図'!$J$70:$J$269,MAX(1,'I-MR管理図'!$H$10-0))</x:definedName>
    <x:definedName name="IMR_IL">'I-MR管理図'!$K$70:INDEX('I-MR管理図'!$K$70:$K$269,MAX(1,'I-MR管理図'!$H$10-0))</x:definedName>
    <x:definedName name="IMR_MX">'I-MR管理図'!$L$71:INDEX('I-MR管理図'!$L$71:$L$269,MAX(1,'I-MR管理図'!$H$10-1))</x:definedName>
    <x:definedName name="IMR_MV">'I-MR管理図'!$M$71:INDEX('I-MR管理図'!$M$71:$M$269,MAX(1,'I-MR管理図'!$H$10-1))</x:definedName>
    <x:definedName name="IMR_MC">'I-MR管理図'!$N$71:INDEX('I-MR管理図'!$N$71:$N$269,MAX(1,'I-MR管理図'!$H$10-1))</x:definedName>
    <x:definedName name="IMR_MU">'I-MR管理図'!$O$71:INDEX('I-MR管理図'!$O$71:$O$269,MAX(1,'I-MR管理図'!$H$10-1))</x:definedName>
    <x:definedName name="IMR_ML">'I-MR管理図'!$P$71:INDEX('I-MR管理図'!$P$71:$P$269,MAX(1,'I-MR管理図'!$H$10-1))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"/>
    <x:numFmt numFmtId="201" formatCode="0.000"/>
    <x:numFmt numFmtId="202" formatCode="0"/>
  </x:numFmts>
  <x:fonts count="13">
    <x:font>
      <x:sz val="11"/>
      <x:name val="Carlito"/>
    </x:font>
    <x:font>
      <x:sz val="11"/>
      <x:color rgb="FF111111"/>
      <x:name val="Noto Sans JP"/>
    </x:font>
    <x:font>
      <x:sz val="17"/>
      <x:color rgb="FF111111"/>
      <x:name val="Noto Sans JP"/>
    </x:font>
    <x:font>
      <x:b/>
      <x:sz val="11"/>
      <x:color rgb="FFFFFFFF"/>
      <x:name val="Noto Sans JP"/>
    </x:font>
    <x:font>
      <x:sz val="10"/>
      <x:color rgb="FF172B40"/>
      <x:name val="Noto Sans JP"/>
    </x:font>
    <x:font>
      <x:b/>
      <x:sz val="10"/>
      <x:color rgb="FF172B40"/>
      <x:name val="Noto Sans JP"/>
    </x:font>
    <x:font>
      <x:b/>
      <x:sz val="16"/>
      <x:color rgb="FF102F50"/>
      <x:name val="Noto Sans JP"/>
    </x:font>
    <x:font>
      <x:sz val="10"/>
      <x:color rgb="FF405973"/>
      <x:name val="Noto Sans JP"/>
    </x:font>
    <x:font>
      <x:sz val="10"/>
      <x:color rgb="FF314B67"/>
      <x:name val="Noto Sans JP"/>
    </x:font>
    <x:font>
      <x:b/>
      <x:sz val="10"/>
      <x:color rgb="FFFFFFFF"/>
      <x:name val="Noto Sans JP"/>
    </x:font>
    <x:font>
      <x:b/>
      <x:sz val="10"/>
      <x:color rgb="FF244C74"/>
      <x:name val="Noto Sans JP"/>
    </x:font>
    <x:font>
      <x:sz val="10"/>
      <x:color rgb="FF123C69"/>
      <x:name val="Noto Sans JP"/>
    </x:font>
    <x:font>
      <x:sz val="10"/>
      <x:color rgb="FF5C738A"/>
      <x:name val="Noto Sans JP"/>
    </x:font>
  </x:fonts>
  <x:fills count="10">
    <x:fill>
      <x:patternFill patternType="none"/>
    </x:fill>
    <x:fill>
      <x:patternFill patternType="gray125"/>
    </x:fill>
    <x:fill>
      <x:patternFill patternType="solid">
        <x:fgColor rgb="FF2F6FB3"/>
      </x:patternFill>
    </x:fill>
    <x:fill>
      <x:patternFill patternType="solid">
        <x:fgColor rgb="FFFFF3CD"/>
      </x:patternFill>
    </x:fill>
    <x:fill>
      <x:patternFill patternType="solid">
        <x:fgColor rgb="FFFFFFFF"/>
      </x:patternFill>
    </x:fill>
    <x:fill>
      <x:patternFill patternType="solid">
        <x:fgColor rgb="FFF4F8FC"/>
      </x:patternFill>
    </x:fill>
    <x:fill>
      <x:patternFill patternType="solid">
        <x:fgColor rgb="FF2164A5"/>
      </x:patternFill>
    </x:fill>
    <x:fill>
      <x:patternFill patternType="solid">
        <x:fgColor rgb="FFEAF2FA"/>
      </x:patternFill>
    </x:fill>
    <x:fill>
      <x:patternFill patternType="solid">
        <x:fgColor rgb="FFF7FAFD"/>
      </x:patternFill>
    </x:fill>
    <x:fill>
      <x:patternFill patternType="solid">
        <x:fgColor rgb="FFFFF0B8"/>
      </x:patternFill>
    </x:fill>
  </x:fills>
  <x:borders count="13">
    <x:border>
      <x:left/>
      <x:right/>
      <x:top/>
      <x:bottom/>
      <x:diagonal/>
    </x:border>
    <x:border>
      <x:left style="thin">
        <x:color rgb="FFD6E1EB"/>
      </x:left>
      <x:right style="thin">
        <x:color rgb="FFD6E1EB"/>
      </x:right>
      <x:top style="thin">
        <x:color rgb="FFD6E1EB"/>
      </x:top>
      <x:bottom style="thin">
        <x:color rgb="FFD6E1EB"/>
      </x:bottom>
      <x:diagonal/>
    </x:border>
    <x:border>
      <x:left style="thin">
        <x:color rgb="FFC8D9EB"/>
      </x:left>
      <x:right/>
      <x:top style="thin">
        <x:color rgb="FFC8D9EB"/>
      </x:top>
      <x:bottom/>
      <x:diagonal/>
    </x:border>
    <x:border>
      <x:left/>
      <x:right/>
      <x:top style="thin">
        <x:color rgb="FFC8D9EB"/>
      </x:top>
      <x:bottom/>
      <x:diagonal/>
    </x:border>
    <x:border>
      <x:left/>
      <x:right style="thin">
        <x:color rgb="FFC8D9EB"/>
      </x:right>
      <x:top style="thin">
        <x:color rgb="FFC8D9EB"/>
      </x:top>
      <x:bottom/>
      <x:diagonal/>
    </x:border>
    <x:border>
      <x:left style="thin">
        <x:color rgb="FFC8D9EB"/>
      </x:left>
      <x:right/>
      <x:top/>
      <x:bottom style="thin">
        <x:color rgb="FFC8D9EB"/>
      </x:bottom>
      <x:diagonal/>
    </x:border>
    <x:border>
      <x:left/>
      <x:right/>
      <x:top/>
      <x:bottom style="thin">
        <x:color rgb="FFC8D9EB"/>
      </x:bottom>
      <x:diagonal/>
    </x:border>
    <x:border>
      <x:left/>
      <x:right style="thin">
        <x:color rgb="FFC8D9EB"/>
      </x:right>
      <x:top/>
      <x:bottom style="thin">
        <x:color rgb="FFC8D9EB"/>
      </x:bottom>
      <x:diagonal/>
    </x:border>
    <x:border>
      <x:left style="thin">
        <x:color rgb="FFC8D9EB"/>
      </x:left>
      <x:right style="thin">
        <x:color rgb="FFC8D9EB"/>
      </x:right>
      <x:top style="thin">
        <x:color rgb="FFC8D9EB"/>
      </x:top>
      <x:bottom style="thin">
        <x:color rgb="FFC8D9EB"/>
      </x:bottom>
      <x:diagonal/>
    </x:border>
    <x:border>
      <x:left style="thin">
        <x:color rgb="FFE4EEF7"/>
      </x:left>
      <x:right style="thin">
        <x:color rgb="FFE4EEF7"/>
      </x:right>
      <x:top style="thin">
        <x:color rgb="FFE4EEF7"/>
      </x:top>
      <x:bottom style="thin">
        <x:color rgb="FFE4EEF7"/>
      </x:bottom>
      <x:diagonal/>
    </x:border>
    <x:border>
      <x:left style="thin">
        <x:color rgb="FFC8D9EB"/>
      </x:left>
      <x:right/>
      <x:top style="thin">
        <x:color rgb="FFC8D9EB"/>
      </x:top>
      <x:bottom style="thin">
        <x:color rgb="FFC8D9EB"/>
      </x:bottom>
      <x:diagonal/>
    </x:border>
    <x:border>
      <x:left/>
      <x:right/>
      <x:top style="thin">
        <x:color rgb="FFC8D9EB"/>
      </x:top>
      <x:bottom style="thin">
        <x:color rgb="FFC8D9EB"/>
      </x:bottom>
      <x:diagonal/>
    </x:border>
    <x:border>
      <x:left/>
      <x:right style="thin">
        <x:color rgb="FFC8D9EB"/>
      </x:right>
      <x:top style="thin">
        <x:color rgb="FFC8D9EB"/>
      </x:top>
      <x:bottom style="thin">
        <x:color rgb="FFC8D9EB"/>
      </x:bottom>
      <x:diagonal/>
    </x:border>
  </x:borders>
  <x:cellStyleXfs count="1">
    <x:xf numFmtId="0" fontId="0" fillId="0" borderId="0"/>
  </x:cellStyleXfs>
  <x:cellXfs count="10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center" vertical="center"/>
    </x:xf>
    <x:xf numFmtId="200" fontId="1" fillId="0" borderId="1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201" fontId="1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horizontal="center" vertical="center"/>
    </x:xf>
    <x:xf numFmtId="200" fontId="4" fillId="0" borderId="1" xfId="0" applyNumberFormat="1" applyFont="1" applyFill="1" applyBorder="1" applyAlignment="1">
      <x:alignment horizontal="center" vertical="center"/>
    </x:xf>
    <x:xf numFmtId="201" fontId="4" fillId="0" borderId="1" xfId="0" applyNumberFormat="1" applyFont="1" applyFill="1" applyBorder="1" applyAlignment="1">
      <x:alignment horizontal="center" vertical="center"/>
    </x:xf>
    <x:xf numFmtId="201" fontId="4" fillId="3" borderId="1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vertical="center" wrapText="1"/>
    </x:xf>
    <x:xf numFmtId="0" fontId="8" fillId="5" borderId="7" xfId="0" applyNumberFormat="1" applyFont="1" applyFill="1" applyBorder="1" applyAlignment="1">
      <x:alignment vertical="center" wrapText="1"/>
    </x:xf>
    <x:xf numFmtId="0" fontId="8" fillId="5" borderId="2" xfId="0" applyNumberFormat="1" applyFont="1" applyFill="1" applyBorder="1" applyAlignment="1">
      <x:alignment horizontal="left" vertical="center" wrapText="1"/>
    </x:xf>
    <x:xf numFmtId="0" fontId="8" fillId="5" borderId="3" xfId="0" applyNumberFormat="1" applyFont="1" applyFill="1" applyBorder="1" applyAlignment="1">
      <x:alignment horizontal="left" vertical="center" wrapText="1"/>
    </x:xf>
    <x:xf numFmtId="0" fontId="8" fillId="5" borderId="4" xfId="0" applyNumberFormat="1" applyFont="1" applyFill="1" applyBorder="1" applyAlignment="1">
      <x:alignment horizontal="left" vertical="center" wrapText="1"/>
    </x:xf>
    <x:xf numFmtId="0" fontId="8" fillId="5" borderId="5" xfId="0" applyNumberFormat="1" applyFont="1" applyFill="1" applyBorder="1" applyAlignment="1">
      <x:alignment horizontal="left" vertical="center" wrapText="1"/>
    </x:xf>
    <x:xf numFmtId="0" fontId="8" fillId="5" borderId="6" xfId="0" applyNumberFormat="1" applyFont="1" applyFill="1" applyBorder="1" applyAlignment="1">
      <x:alignment horizontal="left" vertical="center" wrapText="1"/>
    </x:xf>
    <x:xf numFmtId="0" fontId="8" fillId="5" borderId="7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horizontal="left" vertical="center" wrapText="1"/>
    </x:xf>
    <x:xf numFmtId="0" fontId="7" fillId="5" borderId="3" xfId="0" applyNumberFormat="1" applyFont="1" applyFill="1" applyBorder="1" applyAlignment="1">
      <x:alignment horizontal="left" vertical="center" wrapText="1"/>
    </x:xf>
    <x:xf numFmtId="0" fontId="7" fillId="5" borderId="4" xfId="0" applyNumberFormat="1" applyFont="1" applyFill="1" applyBorder="1" applyAlignment="1">
      <x:alignment horizontal="left" vertical="center" wrapText="1"/>
    </x:xf>
    <x:xf numFmtId="0" fontId="7" fillId="5" borderId="5" xfId="0" applyNumberFormat="1" applyFont="1" applyFill="1" applyBorder="1" applyAlignment="1">
      <x:alignment horizontal="left" vertical="center" wrapText="1"/>
    </x:xf>
    <x:xf numFmtId="0" fontId="7" fillId="5" borderId="6" xfId="0" applyNumberFormat="1" applyFont="1" applyFill="1" applyBorder="1" applyAlignment="1">
      <x:alignment horizontal="left" vertical="center" wrapText="1"/>
    </x:xf>
    <x:xf numFmtId="0" fontId="7" fillId="5" borderId="7" xfId="0" applyNumberFormat="1" applyFont="1" applyFill="1" applyBorder="1" applyAlignment="1">
      <x:alignment horizontal="left"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horizontal="center" vertical="center"/>
    </x:xf>
    <x:xf numFmtId="200" fontId="4" fillId="4" borderId="1" xfId="0" applyNumberFormat="1" applyFont="1" applyFill="1" applyBorder="1" applyAlignment="1">
      <x:alignment horizontal="center" vertical="center"/>
    </x:xf>
    <x:xf numFmtId="0" fontId="5" fillId="4" borderId="8" xfId="0" applyNumberFormat="1" applyFont="1" applyFill="1" applyBorder="1" applyAlignment="1">
      <x:alignment horizontal="center" vertical="center" wrapText="1"/>
    </x:xf>
    <x:xf numFmtId="0" fontId="4" fillId="4" borderId="8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horizontal="center" vertical="center"/>
    </x:xf>
    <x:xf numFmtId="200" fontId="4" fillId="4" borderId="8" xfId="0" applyNumberFormat="1" applyFont="1" applyFill="1" applyBorder="1" applyAlignment="1">
      <x:alignment horizontal="center" vertical="center"/>
    </x:xf>
    <x:xf numFmtId="201" fontId="4" fillId="4" borderId="1" xfId="0" applyNumberFormat="1" applyFont="1" applyFill="1" applyBorder="1" applyAlignment="1">
      <x:alignment horizontal="center" vertical="center"/>
    </x:xf>
    <x:xf numFmtId="201" fontId="4" fillId="4" borderId="8" xfId="0" applyNumberFormat="1" applyFont="1" applyFill="1" applyBorder="1" applyAlignment="1">
      <x:alignment horizontal="center" vertical="center"/>
    </x:xf>
    <x:xf numFmtId="0" fontId="5" fillId="6" borderId="8" xfId="0" applyNumberFormat="1" applyFont="1" applyFill="1" applyBorder="1" applyAlignment="1">
      <x:alignment horizontal="center" vertical="center" wrapText="1"/>
    </x:xf>
    <x:xf numFmtId="0" fontId="9" fillId="6" borderId="8" xfId="0" applyNumberFormat="1" applyFont="1" applyFill="1" applyBorder="1" applyAlignment="1">
      <x:alignment horizontal="center" vertical="center" wrapText="1"/>
    </x:xf>
    <x:xf numFmtId="0" fontId="9" fillId="6" borderId="9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9" fillId="6" borderId="1" xfId="0" applyNumberFormat="1" applyFont="1" applyFill="1" applyBorder="1" applyAlignment="1">
      <x:alignment horizontal="center" vertical="center" wrapText="1"/>
    </x:xf>
    <x:xf numFmtId="0" fontId="4" fillId="4" borderId="8" xfId="0" applyNumberFormat="1" applyFont="1" applyFill="1" applyBorder="1" applyAlignment="1">
      <x:alignment horizontal="left" vertical="center"/>
    </x:xf>
    <x:xf numFmtId="0" fontId="4" fillId="4" borderId="8" xfId="0" applyNumberFormat="1" applyFont="1" applyFill="1" applyBorder="1" applyAlignment="1">
      <x:alignment horizontal="right" vertical="center"/>
    </x:xf>
    <x:xf numFmtId="200" fontId="4" fillId="4" borderId="8" xfId="0" applyNumberFormat="1" applyFont="1" applyFill="1" applyBorder="1" applyAlignment="1">
      <x:alignment horizontal="right" vertical="center"/>
    </x:xf>
    <x:xf numFmtId="201" fontId="4" fillId="4" borderId="8" xfId="0" applyNumberFormat="1" applyFont="1" applyFill="1" applyBorder="1" applyAlignment="1">
      <x:alignment horizontal="right" vertical="center"/>
    </x:xf>
    <x:xf numFmtId="202" fontId="4" fillId="4" borderId="8" xfId="0" applyNumberFormat="1" applyFont="1" applyFill="1" applyBorder="1" applyAlignment="1">
      <x:alignment horizontal="right" vertical="center"/>
    </x:xf>
    <x:xf numFmtId="0" fontId="4" fillId="7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8" fillId="8" borderId="10" xfId="0" applyNumberFormat="1" applyFont="1" applyFill="1" applyBorder="1" applyAlignment="1">
      <x:alignment vertical="center"/>
    </x:xf>
    <x:xf numFmtId="0" fontId="8" fillId="8" borderId="11" xfId="0" applyNumberFormat="1" applyFont="1" applyFill="1" applyBorder="1" applyAlignment="1">
      <x:alignment vertical="center"/>
    </x:xf>
    <x:xf numFmtId="0" fontId="8" fillId="8" borderId="12" xfId="0" applyNumberFormat="1" applyFont="1" applyFill="1" applyBorder="1" applyAlignment="1">
      <x:alignment vertical="center"/>
    </x:xf>
    <x:xf numFmtId="201" fontId="4" fillId="9" borderId="8" xfId="0" applyNumberFormat="1" applyFont="1" applyFill="1" applyBorder="1" applyAlignment="1">
      <x:alignment horizontal="center" vertical="center"/>
    </x:xf>
    <x:xf numFmtId="201" fontId="11" fillId="9" borderId="8" xfId="0" applyNumberFormat="1" applyFont="1" applyFill="1" applyBorder="1" applyAlignment="1">
      <x:alignment horizontal="center" vertical="center"/>
    </x:xf>
    <x:xf numFmtId="201" fontId="11" fillId="9" borderId="8" xfId="0" applyNumberFormat="1" applyFont="1" applyFill="1" applyBorder="1" applyAlignment="1">
      <x:alignment horizontal="right" vertical="center"/>
    </x:xf>
    <x:xf numFmtId="202" fontId="4" fillId="4" borderId="8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 applyAlignment="1">
      <x:alignment horizontal="center" vertical="center" wrapText="0"/>
    </x:xf>
    <x:xf numFmtId="0" fontId="12" fillId="0" borderId="0" xfId="0" applyNumberFormat="1" applyFont="1" applyFill="1" applyBorder="1" applyAlignment="1">
      <x:alignment vertical="center"/>
    </x:xf>
    <x:xf numFmtId="201" fontId="12" fillId="0" borderId="0" xfId="0" applyNumberFormat="1" applyFont="1" applyFill="1" applyBorder="1" applyAlignment="1">
      <x:alignment vertical="center"/>
    </x:xf>
    <x:xf numFmtId="202" fontId="12" fillId="0" borderId="0" xfId="0" applyNumberFormat="1" applyFont="1" applyFill="1" applyBorder="1" applyAlignment="1">
      <x:alignment vertical="center"/>
    </x:xf>
    <x:xf numFmtId="0" fontId="10" fillId="7" borderId="0" xfId="0" applyNumberFormat="1" applyFont="1" applyFill="1" applyBorder="1" applyAlignment="1">
      <x:alignment horizontal="center" vertical="center"/>
    </x:xf>
    <x:xf numFmtId="0" fontId="8" fillId="8" borderId="10" xfId="0" applyNumberFormat="1" applyFont="1" applyFill="1" applyBorder="1" applyAlignment="1">
      <x:alignment horizontal="center" vertical="center"/>
    </x:xf>
    <x:xf numFmtId="0" fontId="8" fillId="8" borderId="11" xfId="0" applyNumberFormat="1" applyFont="1" applyFill="1" applyBorder="1" applyAlignment="1">
      <x:alignment horizontal="center" vertical="center"/>
    </x:xf>
    <x:xf numFmtId="0" fontId="8" fillId="8" borderId="12" xfId="0" applyNumberFormat="1" applyFont="1" applyFill="1" applyBorder="1" applyAlignment="1">
      <x:alignment horizontal="center" vertical="center"/>
    </x:xf>
    <x:xf numFmtId="202" fontId="12" fillId="0" borderId="0" xfId="0" applyNumberFormat="1" applyFont="1" applyFill="1" applyBorder="1" applyAlignment="1">
      <x:alignment horizontal="center" vertical="center"/>
    </x:xf>
    <x:xf numFmtId="201" fontId="12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b/>
        <x:color rgb="FF111111"/>
      </x:font>
      <x:fill>
        <x:patternFill>
          <x:bgColor rgb="FFFFEBD5"/>
        </x:patternFill>
      </x:fill>
    </x:dxf>
    <x:dxf>
      <x:font>
        <x:b/>
        <x:color rgb="FFB42318"/>
      </x:font>
      <x:fill>
        <x:patternFill>
          <x:bgColor rgb="FFFFE7E3"/>
        </x:patternFill>
      </x:fill>
    </x:dxf>
    <x:dxf>
      <x:font>
        <x:b/>
        <x:color rgb="FFA33D12"/>
      </x:font>
      <x:fill>
        <x:patternFill>
          <x:bgColor rgb="FFFFE7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a1ea9cfdd4dcc" /><Relationship Type="http://schemas.openxmlformats.org/officeDocument/2006/relationships/theme" Target="/xl/theme/theme1.xml" Id="R38ad373f550e436c" /><Relationship Type="http://schemas.openxmlformats.org/officeDocument/2006/relationships/sharedStrings" Target="/xl/sharedStrings.xml" Id="Re3a193f359634d8c" /><Relationship Type="http://schemas.openxmlformats.org/officeDocument/2006/relationships/worksheet" Target="/xl/worksheets/sheet1.xml" Id="R73fa61670250460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65b9778e77d4feb" /><Relationship Type="http://schemas.openxmlformats.org/officeDocument/2006/relationships/chart" Target="/xl/drawings/charts/chart2.xml" Id="R9328bd2f754642f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 b="1">
                <a:latin typeface="Noto Sans JP"/>
                <a:ea typeface="Noto Sans JP"/>
                <a:cs typeface="Noto Sans JP"/>
              </a:rPr>
              <a:t>I管理図｜個々の寸法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 b="1">
              <a:latin typeface="Noto Sans JP"/>
              <a:ea typeface="Noto Sans JP"/>
              <a:cs typeface="Noto Sans JP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測定値</c:v>
          </c:tx>
          <c:spPr>
            <a:solidFill xmlns:a="http://schemas.openxmlformats.org/drawingml/2006/main">
              <a:srgbClr val="0066CC"/>
            </a:solidFill>
            <a:ln xmlns:a="http://schemas.openxmlformats.org/drawingml/2006/main" w="19050">
              <a:solidFill>
                <a:srgbClr val="0066CC"/>
              </a:solidFill>
              <a:prstDash val="solid"/>
            </a:ln>
          </c:spPr>
          <c:marker>
            <c:symbol val="none"/>
          </c:marker>
          <c:cat>
            <c:numRef>
              <c:f>'I-MR管理図'!IMR_IX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'I-MR管理図'!IMR_IV</c:f>
              <c:numCache>
                <c:formatCode>0.0</c:formatCode>
                <c:ptCount val="20"/>
                <c:pt idx="0">
                  <c:v>100.1</c:v>
                </c:pt>
                <c:pt idx="1">
                  <c:v>99.8</c:v>
                </c:pt>
                <c:pt idx="2">
                  <c:v>100.4</c:v>
                </c:pt>
                <c:pt idx="3">
                  <c:v>100</c:v>
                </c:pt>
                <c:pt idx="4">
                  <c:v>99.7</c:v>
                </c:pt>
                <c:pt idx="5">
                  <c:v>100.2</c:v>
                </c:pt>
                <c:pt idx="6">
                  <c:v>100.5</c:v>
                </c:pt>
                <c:pt idx="7">
                  <c:v>99.9</c:v>
                </c:pt>
                <c:pt idx="8">
                  <c:v>100.1</c:v>
                </c:pt>
                <c:pt idx="9">
                  <c:v>100.3</c:v>
                </c:pt>
                <c:pt idx="10">
                  <c:v>99.8</c:v>
                </c:pt>
                <c:pt idx="11">
                  <c:v>100</c:v>
                </c:pt>
                <c:pt idx="12">
                  <c:v>100.2</c:v>
                </c:pt>
                <c:pt idx="13">
                  <c:v>99.9</c:v>
                </c:pt>
                <c:pt idx="14">
                  <c:v>100.4</c:v>
                </c:pt>
                <c:pt idx="15">
                  <c:v>100.1</c:v>
                </c:pt>
                <c:pt idx="16">
                  <c:v>99.7</c:v>
                </c:pt>
                <c:pt idx="17">
                  <c:v>100</c:v>
                </c:pt>
                <c:pt idx="18">
                  <c:v>103</c:v>
                </c:pt>
                <c:pt idx="19">
                  <c:v>100.2</c:v>
                </c:pt>
              </c:numCache>
            </c:numRef>
          </c:val>
          <c:smooth val="0"/>
        </c:ser>
        <c:ser>
          <c:idx val="1"/>
          <c:order val="1"/>
          <c:tx>
            <c:v>CL</c:v>
          </c:tx>
          <c:spPr>
            <a:solidFill xmlns:a="http://schemas.openxmlformats.org/drawingml/2006/main">
              <a:srgbClr val="00A870"/>
            </a:solidFill>
            <a:ln xmlns:a="http://schemas.openxmlformats.org/drawingml/2006/main" w="14288">
              <a:solidFill>
                <a:srgbClr val="00A870"/>
              </a:solidFill>
              <a:prstDash val="dash"/>
            </a:ln>
          </c:spPr>
          <c:marker>
            <c:symbol val="none"/>
          </c:marker>
          <c:cat>
            <c:numRef>
              <c:f>'I-MR管理図'!IMR_IX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'I-MR管理図'!IMR_IC</c:f>
              <c:numCache>
                <c:formatCode>0.0</c:formatCode>
                <c:ptCount val="20"/>
                <c:pt idx="0">
                  <c:v>100.215</c:v>
                </c:pt>
                <c:pt idx="1">
                  <c:v>100.215</c:v>
                </c:pt>
                <c:pt idx="2">
                  <c:v>100.215</c:v>
                </c:pt>
                <c:pt idx="3">
                  <c:v>100.215</c:v>
                </c:pt>
                <c:pt idx="4">
                  <c:v>100.215</c:v>
                </c:pt>
                <c:pt idx="5">
                  <c:v>100.215</c:v>
                </c:pt>
                <c:pt idx="6">
                  <c:v>100.215</c:v>
                </c:pt>
                <c:pt idx="7">
                  <c:v>100.215</c:v>
                </c:pt>
                <c:pt idx="8">
                  <c:v>100.215</c:v>
                </c:pt>
                <c:pt idx="9">
                  <c:v>100.215</c:v>
                </c:pt>
                <c:pt idx="10">
                  <c:v>100.215</c:v>
                </c:pt>
                <c:pt idx="11">
                  <c:v>100.215</c:v>
                </c:pt>
                <c:pt idx="12">
                  <c:v>100.215</c:v>
                </c:pt>
                <c:pt idx="13">
                  <c:v>100.215</c:v>
                </c:pt>
                <c:pt idx="14">
                  <c:v>100.215</c:v>
                </c:pt>
                <c:pt idx="15">
                  <c:v>100.215</c:v>
                </c:pt>
                <c:pt idx="16">
                  <c:v>100.215</c:v>
                </c:pt>
                <c:pt idx="17">
                  <c:v>100.215</c:v>
                </c:pt>
                <c:pt idx="18">
                  <c:v>100.215</c:v>
                </c:pt>
                <c:pt idx="19">
                  <c:v>100.215</c:v>
                </c:pt>
              </c:numCache>
            </c:numRef>
          </c:val>
          <c:smooth val="0"/>
        </c:ser>
        <c:ser>
          <c:idx val="2"/>
          <c:order val="2"/>
          <c:tx>
            <c:v>UCL</c:v>
          </c:tx>
          <c:spPr>
            <a:solidFill xmlns:a="http://schemas.openxmlformats.org/drawingml/2006/main">
              <a:srgbClr val="FF3333"/>
            </a:solidFill>
            <a:ln xmlns:a="http://schemas.openxmlformats.org/drawingml/2006/main" w="14288">
              <a:solidFill>
                <a:srgbClr val="FF3333"/>
              </a:solidFill>
              <a:prstDash val="dash"/>
            </a:ln>
          </c:spPr>
          <c:marker>
            <c:symbol val="none"/>
          </c:marker>
          <c:cat>
            <c:numRef>
              <c:f>'I-MR管理図'!IMR_IX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'I-MR管理図'!IMR_IU</c:f>
              <c:numCache>
                <c:formatCode>0.0</c:formatCode>
                <c:ptCount val="20"/>
                <c:pt idx="0">
                  <c:v>101.881</c:v>
                </c:pt>
                <c:pt idx="1">
                  <c:v>101.881</c:v>
                </c:pt>
                <c:pt idx="2">
                  <c:v>101.881</c:v>
                </c:pt>
                <c:pt idx="3">
                  <c:v>101.881</c:v>
                </c:pt>
                <c:pt idx="4">
                  <c:v>101.881</c:v>
                </c:pt>
                <c:pt idx="5">
                  <c:v>101.881</c:v>
                </c:pt>
                <c:pt idx="6">
                  <c:v>101.881</c:v>
                </c:pt>
                <c:pt idx="7">
                  <c:v>101.881</c:v>
                </c:pt>
                <c:pt idx="8">
                  <c:v>101.881</c:v>
                </c:pt>
                <c:pt idx="9">
                  <c:v>101.881</c:v>
                </c:pt>
                <c:pt idx="10">
                  <c:v>101.881</c:v>
                </c:pt>
                <c:pt idx="11">
                  <c:v>101.881</c:v>
                </c:pt>
                <c:pt idx="12">
                  <c:v>101.881</c:v>
                </c:pt>
                <c:pt idx="13">
                  <c:v>101.881</c:v>
                </c:pt>
                <c:pt idx="14">
                  <c:v>101.881</c:v>
                </c:pt>
                <c:pt idx="15">
                  <c:v>101.881</c:v>
                </c:pt>
                <c:pt idx="16">
                  <c:v>101.881</c:v>
                </c:pt>
                <c:pt idx="17">
                  <c:v>101.881</c:v>
                </c:pt>
                <c:pt idx="18">
                  <c:v>101.881</c:v>
                </c:pt>
                <c:pt idx="19">
                  <c:v>101.881</c:v>
                </c:pt>
              </c:numCache>
            </c:numRef>
          </c:val>
          <c:smooth val="0"/>
        </c:ser>
        <c:ser>
          <c:idx val="3"/>
          <c:order val="3"/>
          <c:tx>
            <c:v>LCL</c:v>
          </c:tx>
          <c:spPr>
            <a:solidFill xmlns:a="http://schemas.openxmlformats.org/drawingml/2006/main">
              <a:srgbClr val="FF3333"/>
            </a:solidFill>
            <a:ln xmlns:a="http://schemas.openxmlformats.org/drawingml/2006/main" w="14288">
              <a:solidFill>
                <a:srgbClr val="FF3333"/>
              </a:solidFill>
              <a:prstDash val="dash"/>
            </a:ln>
          </c:spPr>
          <c:marker>
            <c:symbol val="none"/>
          </c:marker>
          <c:cat>
            <c:numRef>
              <c:f>'I-MR管理図'!IMR_IX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'I-MR管理図'!IMR_IL</c:f>
              <c:numCache>
                <c:formatCode>0.0</c:formatCode>
                <c:ptCount val="20"/>
                <c:pt idx="0">
                  <c:v>98.549</c:v>
                </c:pt>
                <c:pt idx="1">
                  <c:v>98.549</c:v>
                </c:pt>
                <c:pt idx="2">
                  <c:v>98.549</c:v>
                </c:pt>
                <c:pt idx="3">
                  <c:v>98.549</c:v>
                </c:pt>
                <c:pt idx="4">
                  <c:v>98.549</c:v>
                </c:pt>
                <c:pt idx="5">
                  <c:v>98.549</c:v>
                </c:pt>
                <c:pt idx="6">
                  <c:v>98.549</c:v>
                </c:pt>
                <c:pt idx="7">
                  <c:v>98.549</c:v>
                </c:pt>
                <c:pt idx="8">
                  <c:v>98.549</c:v>
                </c:pt>
                <c:pt idx="9">
                  <c:v>98.549</c:v>
                </c:pt>
                <c:pt idx="10">
                  <c:v>98.549</c:v>
                </c:pt>
                <c:pt idx="11">
                  <c:v>98.549</c:v>
                </c:pt>
                <c:pt idx="12">
                  <c:v>98.549</c:v>
                </c:pt>
                <c:pt idx="13">
                  <c:v>98.549</c:v>
                </c:pt>
                <c:pt idx="14">
                  <c:v>98.549</c:v>
                </c:pt>
                <c:pt idx="15">
                  <c:v>98.549</c:v>
                </c:pt>
                <c:pt idx="16">
                  <c:v>98.549</c:v>
                </c:pt>
                <c:pt idx="17">
                  <c:v>98.549</c:v>
                </c:pt>
                <c:pt idx="18">
                  <c:v>98.549</c:v>
                </c:pt>
                <c:pt idx="19">
                  <c:v>98.549</c:v>
                </c:pt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5715">
              <a:solidFill>
                <a:srgbClr val="E1E6E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測定No.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>
                  <a:solidFill>
                    <a:srgbClr val="172B40"/>
                  </a:solidFill>
                  <a:latin typeface="Noto Sans JP"/>
                  <a:ea typeface="Noto Sans JP"/>
                  <a:cs typeface="Noto Sans JP"/>
                </a:defRPr>
              </a:pPr>
            </a:p>
          </c:txPr>
        </c:title>
        <c:numFmt formatCode="0" sourceLinked="0"/>
        <c:majorTickMark val="none"/>
        <c:minorTickMark val="none"/>
        <c:tickLblPos val="nextTo"/>
        <c:spPr>
          <a:ln xmlns:a="http://schemas.openxmlformats.org/drawingml/2006/main" w="7620">
            <a:solidFill>
              <a:srgbClr val="C7D2DE"/>
            </a:solidFill>
            <a:prstDash val="solid"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solidFill>
                  <a:srgbClr val="172B40"/>
                </a:solidFill>
                <a:latin typeface="Noto Sans JP"/>
                <a:ea typeface="Noto Sans JP"/>
                <a:cs typeface="Noto Sans JP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6668">
              <a:solidFill>
                <a:srgbClr val="DCE3EB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寸法（mm）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>
                  <a:solidFill>
                    <a:srgbClr val="172B40"/>
                  </a:solidFill>
                  <a:latin typeface="Noto Sans JP"/>
                  <a:ea typeface="Noto Sans JP"/>
                  <a:cs typeface="Noto Sans JP"/>
                </a:defRPr>
              </a:pPr>
            </a:p>
          </c:txPr>
        </c:title>
        <c:numFmt formatCode="0.0" sourceLinked="0"/>
        <c:majorTickMark val="none"/>
        <c:minorTickMark val="none"/>
        <c:spPr>
          <a:ln xmlns:a="http://schemas.openxmlformats.org/drawingml/2006/main" w="7620">
            <a:solidFill>
              <a:srgbClr val="C7D2DE"/>
            </a:solidFill>
            <a:prstDash val="solid"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solidFill>
                  <a:srgbClr val="172B40"/>
                </a:solidFill>
                <a:latin typeface="Noto Sans JP"/>
                <a:ea typeface="Noto Sans JP"/>
                <a:cs typeface="Noto Sans JP"/>
              </a:defRPr>
            </a:pPr>
          </a:p>
        </c:txPr>
        <c:crossAx val="48650112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solidFill>
                <a:srgbClr val="172B40"/>
              </a:solidFill>
              <a:latin typeface="Noto Sans JP"/>
              <a:ea typeface="Noto Sans JP"/>
              <a:cs typeface="Noto Sans JP"/>
            </a:defRPr>
          </a:pPr>
        </a:p>
      </c:txPr>
    </c:legend>
    <c:plotVisOnly val="1"/>
  </c:chart>
  <c:spPr>
    <a:solidFill xmlns:a="http://schemas.openxmlformats.org/drawingml/2006/main">
      <a:srgbClr val="FFFFFF"/>
    </a:solidFill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 b="1">
                <a:latin typeface="Noto Sans JP"/>
                <a:ea typeface="Noto Sans JP"/>
                <a:cs typeface="Noto Sans JP"/>
              </a:rPr>
              <a:t>MR管理図｜隣り合う寸法の変化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 b="1">
              <a:latin typeface="Noto Sans JP"/>
              <a:ea typeface="Noto Sans JP"/>
              <a:cs typeface="Noto Sans JP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移動範囲</c:v>
          </c:tx>
          <c:spPr>
            <a:solidFill xmlns:a="http://schemas.openxmlformats.org/drawingml/2006/main">
              <a:srgbClr val="0066CC"/>
            </a:solidFill>
            <a:ln xmlns:a="http://schemas.openxmlformats.org/drawingml/2006/main" w="19050">
              <a:solidFill>
                <a:srgbClr val="0066CC"/>
              </a:solidFill>
              <a:prstDash val="solid"/>
            </a:ln>
          </c:spPr>
          <c:marker>
            <c:symbol val="none"/>
          </c:marker>
          <c:cat>
            <c:numRef>
              <c:f>'I-MR管理図'!IMR_MX</c:f>
              <c:numCache>
                <c:formatCode>General</c:formatCod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numCache>
            </c:numRef>
          </c:cat>
          <c:val>
            <c:numRef>
              <c:f>'I-MR管理図'!IMR_MV</c:f>
              <c:numCache>
                <c:formatCode>0.0</c:formatCode>
                <c:ptCount val="19"/>
                <c:pt idx="0">
                  <c:v>0.29999999999999716</c:v>
                </c:pt>
                <c:pt idx="1">
                  <c:v>0.6000000000000085</c:v>
                </c:pt>
                <c:pt idx="2">
                  <c:v>0.4000000000000057</c:v>
                </c:pt>
                <c:pt idx="3">
                  <c:v>0.29999999999999716</c:v>
                </c:pt>
                <c:pt idx="4">
                  <c:v>0.5</c:v>
                </c:pt>
                <c:pt idx="5">
                  <c:v>0.29999999999999716</c:v>
                </c:pt>
                <c:pt idx="6">
                  <c:v>0.5999999999999943</c:v>
                </c:pt>
                <c:pt idx="7">
                  <c:v>0.19999999999998863</c:v>
                </c:pt>
                <c:pt idx="8">
                  <c:v>0.20000000000000284</c:v>
                </c:pt>
                <c:pt idx="9">
                  <c:v>0.5</c:v>
                </c:pt>
                <c:pt idx="10">
                  <c:v>0.20000000000000284</c:v>
                </c:pt>
                <c:pt idx="11">
                  <c:v>0.20000000000000284</c:v>
                </c:pt>
                <c:pt idx="12">
                  <c:v>0.29999999999999716</c:v>
                </c:pt>
                <c:pt idx="13">
                  <c:v>0.5</c:v>
                </c:pt>
                <c:pt idx="14">
                  <c:v>0.30000000000001137</c:v>
                </c:pt>
                <c:pt idx="15">
                  <c:v>0.3999999999999915</c:v>
                </c:pt>
                <c:pt idx="16">
                  <c:v>0.29999999999999716</c:v>
                </c:pt>
                <c:pt idx="17">
                  <c:v>3</c:v>
                </c:pt>
                <c:pt idx="18">
                  <c:v>2.799999999999997</c:v>
                </c:pt>
              </c:numCache>
            </c:numRef>
          </c:val>
          <c:smooth val="0"/>
        </c:ser>
        <c:ser>
          <c:idx val="1"/>
          <c:order val="1"/>
          <c:tx>
            <c:v>CL</c:v>
          </c:tx>
          <c:spPr>
            <a:solidFill xmlns:a="http://schemas.openxmlformats.org/drawingml/2006/main">
              <a:srgbClr val="00A870"/>
            </a:solidFill>
            <a:ln xmlns:a="http://schemas.openxmlformats.org/drawingml/2006/main" w="14288">
              <a:solidFill>
                <a:srgbClr val="00A870"/>
              </a:solidFill>
              <a:prstDash val="dash"/>
            </a:ln>
          </c:spPr>
          <c:marker>
            <c:symbol val="none"/>
          </c:marker>
          <c:cat>
            <c:numRef>
              <c:f>'I-MR管理図'!IMR_MX</c:f>
              <c:numCache>
                <c:formatCode>General</c:formatCod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numCache>
            </c:numRef>
          </c:cat>
          <c:val>
            <c:numRef>
              <c:f>'I-MR管理図'!IMR_MC</c:f>
              <c:numCache>
                <c:formatCode>0.0</c:formatCode>
                <c:ptCount val="19"/>
                <c:pt idx="0">
                  <c:v>0.6263157894736837</c:v>
                </c:pt>
                <c:pt idx="1">
                  <c:v>0.6263157894736837</c:v>
                </c:pt>
                <c:pt idx="2">
                  <c:v>0.6263157894736837</c:v>
                </c:pt>
                <c:pt idx="3">
                  <c:v>0.6263157894736837</c:v>
                </c:pt>
                <c:pt idx="4">
                  <c:v>0.6263157894736837</c:v>
                </c:pt>
                <c:pt idx="5">
                  <c:v>0.6263157894736837</c:v>
                </c:pt>
                <c:pt idx="6">
                  <c:v>0.6263157894736837</c:v>
                </c:pt>
                <c:pt idx="7">
                  <c:v>0.6263157894736837</c:v>
                </c:pt>
                <c:pt idx="8">
                  <c:v>0.6263157894736837</c:v>
                </c:pt>
                <c:pt idx="9">
                  <c:v>0.6263157894736837</c:v>
                </c:pt>
                <c:pt idx="10">
                  <c:v>0.6263157894736837</c:v>
                </c:pt>
                <c:pt idx="11">
                  <c:v>0.6263157894736837</c:v>
                </c:pt>
                <c:pt idx="12">
                  <c:v>0.6263157894736837</c:v>
                </c:pt>
                <c:pt idx="13">
                  <c:v>0.6263157894736837</c:v>
                </c:pt>
                <c:pt idx="14">
                  <c:v>0.6263157894736837</c:v>
                </c:pt>
                <c:pt idx="15">
                  <c:v>0.6263157894736837</c:v>
                </c:pt>
                <c:pt idx="16">
                  <c:v>0.6263157894736837</c:v>
                </c:pt>
                <c:pt idx="17">
                  <c:v>0.6263157894736837</c:v>
                </c:pt>
                <c:pt idx="18">
                  <c:v>0.6263157894736837</c:v>
                </c:pt>
              </c:numCache>
            </c:numRef>
          </c:val>
          <c:smooth val="0"/>
        </c:ser>
        <c:ser>
          <c:idx val="2"/>
          <c:order val="2"/>
          <c:tx>
            <c:v>UCL</c:v>
          </c:tx>
          <c:spPr>
            <a:solidFill xmlns:a="http://schemas.openxmlformats.org/drawingml/2006/main">
              <a:srgbClr val="FF3333"/>
            </a:solidFill>
            <a:ln xmlns:a="http://schemas.openxmlformats.org/drawingml/2006/main" w="14288">
              <a:solidFill>
                <a:srgbClr val="FF3333"/>
              </a:solidFill>
              <a:prstDash val="dash"/>
            </a:ln>
          </c:spPr>
          <c:marker>
            <c:symbol val="none"/>
          </c:marker>
          <c:cat>
            <c:numRef>
              <c:f>'I-MR管理図'!IMR_MX</c:f>
              <c:numCache>
                <c:formatCode>General</c:formatCod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numCache>
            </c:numRef>
          </c:cat>
          <c:val>
            <c:numRef>
              <c:f>'I-MR管理図'!IMR_MU</c:f>
              <c:numCache>
                <c:formatCode>0.0</c:formatCode>
                <c:ptCount val="19"/>
                <c:pt idx="0">
                  <c:v>2.0461736842105247</c:v>
                </c:pt>
                <c:pt idx="1">
                  <c:v>2.0461736842105247</c:v>
                </c:pt>
                <c:pt idx="2">
                  <c:v>2.0461736842105247</c:v>
                </c:pt>
                <c:pt idx="3">
                  <c:v>2.0461736842105247</c:v>
                </c:pt>
                <c:pt idx="4">
                  <c:v>2.0461736842105247</c:v>
                </c:pt>
                <c:pt idx="5">
                  <c:v>2.0461736842105247</c:v>
                </c:pt>
                <c:pt idx="6">
                  <c:v>2.0461736842105247</c:v>
                </c:pt>
                <c:pt idx="7">
                  <c:v>2.0461736842105247</c:v>
                </c:pt>
                <c:pt idx="8">
                  <c:v>2.0461736842105247</c:v>
                </c:pt>
                <c:pt idx="9">
                  <c:v>2.0461736842105247</c:v>
                </c:pt>
                <c:pt idx="10">
                  <c:v>2.0461736842105247</c:v>
                </c:pt>
                <c:pt idx="11">
                  <c:v>2.0461736842105247</c:v>
                </c:pt>
                <c:pt idx="12">
                  <c:v>2.0461736842105247</c:v>
                </c:pt>
                <c:pt idx="13">
                  <c:v>2.0461736842105247</c:v>
                </c:pt>
                <c:pt idx="14">
                  <c:v>2.0461736842105247</c:v>
                </c:pt>
                <c:pt idx="15">
                  <c:v>2.0461736842105247</c:v>
                </c:pt>
                <c:pt idx="16">
                  <c:v>2.0461736842105247</c:v>
                </c:pt>
                <c:pt idx="17">
                  <c:v>2.0461736842105247</c:v>
                </c:pt>
                <c:pt idx="18">
                  <c:v>2.0461736842105247</c:v>
                </c:pt>
              </c:numCache>
            </c:numRef>
          </c:val>
          <c:smooth val="0"/>
        </c:ser>
        <c:ser>
          <c:idx val="3"/>
          <c:order val="3"/>
          <c:tx>
            <c:v>LCL</c:v>
          </c:tx>
          <c:spPr>
            <a:solidFill xmlns:a="http://schemas.openxmlformats.org/drawingml/2006/main">
              <a:srgbClr val="FF3333"/>
            </a:solidFill>
            <a:ln xmlns:a="http://schemas.openxmlformats.org/drawingml/2006/main" w="14288">
              <a:solidFill>
                <a:srgbClr val="FF3333"/>
              </a:solidFill>
              <a:prstDash val="dash"/>
            </a:ln>
          </c:spPr>
          <c:marker>
            <c:symbol val="none"/>
          </c:marker>
          <c:cat>
            <c:numRef>
              <c:f>'I-MR管理図'!IMR_MX</c:f>
              <c:numCache>
                <c:formatCode>General</c:formatCod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numCache>
            </c:numRef>
          </c:cat>
          <c:val>
            <c:numRef>
              <c:f>'I-MR管理図'!IMR_ML</c:f>
              <c:numCache>
                <c:formatCode>0.0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5715">
              <a:solidFill>
                <a:srgbClr val="E1E6E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測定No.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>
                  <a:solidFill>
                    <a:srgbClr val="172B40"/>
                  </a:solidFill>
                  <a:latin typeface="Noto Sans JP"/>
                  <a:ea typeface="Noto Sans JP"/>
                  <a:cs typeface="Noto Sans JP"/>
                </a:defRPr>
              </a:pPr>
            </a:p>
          </c:txPr>
        </c:title>
        <c:numFmt formatCode="0" sourceLinked="0"/>
        <c:majorTickMark val="none"/>
        <c:minorTickMark val="none"/>
        <c:tickLblPos val="nextTo"/>
        <c:spPr>
          <a:ln xmlns:a="http://schemas.openxmlformats.org/drawingml/2006/main" w="7620">
            <a:solidFill>
              <a:srgbClr val="C7D2DE"/>
            </a:solidFill>
            <a:prstDash val="solid"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solidFill>
                  <a:srgbClr val="172B40"/>
                </a:solidFill>
                <a:latin typeface="Noto Sans JP"/>
                <a:ea typeface="Noto Sans JP"/>
                <a:cs typeface="Noto Sans JP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6668">
              <a:solidFill>
                <a:srgbClr val="DCE3EB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MR（mm）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sz="825">
                  <a:solidFill>
                    <a:srgbClr val="172B40"/>
                  </a:solidFill>
                  <a:latin typeface="Noto Sans JP"/>
                  <a:ea typeface="Noto Sans JP"/>
                  <a:cs typeface="Noto Sans JP"/>
                </a:defRPr>
              </a:pPr>
            </a:p>
          </c:txPr>
        </c:title>
        <c:numFmt formatCode="0.0" sourceLinked="0"/>
        <c:majorTickMark val="none"/>
        <c:minorTickMark val="none"/>
        <c:spPr>
          <a:ln xmlns:a="http://schemas.openxmlformats.org/drawingml/2006/main" w="7620">
            <a:solidFill>
              <a:srgbClr val="C7D2DE"/>
            </a:solidFill>
            <a:prstDash val="solid"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solidFill>
                  <a:srgbClr val="172B40"/>
                </a:solidFill>
                <a:latin typeface="Noto Sans JP"/>
                <a:ea typeface="Noto Sans JP"/>
                <a:cs typeface="Noto Sans JP"/>
              </a:defRPr>
            </a:pPr>
          </a:p>
        </c:txPr>
        <c:crossAx val="48650112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solidFill>
                <a:srgbClr val="172B40"/>
              </a:solidFill>
              <a:latin typeface="Noto Sans JP"/>
              <a:ea typeface="Noto Sans JP"/>
              <a:cs typeface="Noto Sans JP"/>
            </a:defRPr>
          </a:pPr>
        </a:p>
      </c:txPr>
    </c:legend>
    <c:plotVisOnly val="1"/>
  </c:chart>
  <c:spPr>
    <a:solidFill xmlns:a="http://schemas.openxmlformats.org/drawingml/2006/main">
      <a:srgbClr val="FFFFFF"/>
    </a:solidFill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16</xdr:row>
      <xdr:rowOff>0</xdr:rowOff>
    </xdr:from>
    <xdr:ext cx="4191000" cy="38576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5b9778e77d4feb"/>
        </a:graphicData>
      </a:graphic>
    </xdr:graphicFrame>
    <xdr:clientData/>
  </xdr:oneCellAnchor>
  <xdr:oneCellAnchor>
    <xdr:from>
      <xdr:col>10</xdr:col>
      <xdr:colOff>0</xdr:colOff>
      <xdr:row>16</xdr:row>
      <xdr:rowOff>0</xdr:rowOff>
    </xdr:from>
    <xdr:ext cx="4191000" cy="3857625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28bd2f754642f0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873b0ddd9940c6" /></Relationships>
</file>

<file path=xl/worksheets/sheet1.xml><?xml version="1.0" encoding="utf-8"?>
<x:worksheet xmlns:x="http://schemas.openxmlformats.org/spreadsheetml/2006/main">
  <x:sheetPr>
    <x:tabColor rgb="FF2164A5"/>
  </x:sheetPr>
  <x:sheetViews>
    <x:sheetView showGridLines="0" workbookViewId="0"/>
  </x:sheetViews>
  <x:sheetFormatPr defaultRowHeight="15"/>
  <x:cols>
    <x:col min="1" max="1" width="4.670000076293945" hidden="0" customWidth="1"/>
    <x:col min="2" max="2" width="11.670000076293945" hidden="0" customWidth="1"/>
    <x:col min="3" max="3" width="11.670000076293945" hidden="0" customWidth="1"/>
    <x:col min="4" max="4" width="9.329999923706055" hidden="0" customWidth="1"/>
    <x:col min="5" max="5" width="9.329999923706055" hidden="0" customWidth="1"/>
    <x:col min="6" max="6" width="2.440000057220459" hidden="0" customWidth="1"/>
    <x:col min="7" max="7" width="20" hidden="0" customWidth="1"/>
    <x:col min="8" max="8" width="12.779999732971191" hidden="0" customWidth="1"/>
    <x:col min="9" max="9" width="16.110000610351562" hidden="0" customWidth="1"/>
    <x:col min="10" max="10" width="7.21999979019165" hidden="0" customWidth="1"/>
    <x:col min="11" max="11" width="20" hidden="0" customWidth="1"/>
    <x:col min="12" max="12" width="12.779999732971191" hidden="0" customWidth="1"/>
    <x:col min="13" max="13" width="7.21999979019165" hidden="0" customWidth="1"/>
    <x:col min="14" max="14" width="7.21999979019165" hidden="0" customWidth="1"/>
    <x:col min="15" max="15" width="7.21999979019165" hidden="0" customWidth="1"/>
    <x:col min="16" max="16" width="7.21999979019165" hidden="0" customWidth="1"/>
    <x:col min="17" max="17" width="7.21999979019165" hidden="0" customWidth="1"/>
  </x:cols>
  <x:sheetData>
    <x:row r="1" ht="34" customHeight="1">
      <x:c r="A1" s="32" t="str">
        <x:v>I-MR管理図｜移動範囲サイズ2・初期調査用テンプレート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</x:row>
    <x:row r="2" ht="21" customHeight="1">
      <x:c r="A2" s="21"/>
      <x:c r="B2" s="21"/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</x:row>
    <x:row r="3" ht="27" customHeight="1">
      <x:c r="A3" s="33" t="str">
        <x:v>黄色のB18:B217へ測定順に入力。例題20点を入力済みです。計算・判定・2つのグラフが連動します。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  <x:c r="N3" s="33"/>
      <x:c r="O3" s="33"/>
      <x:c r="P3" s="33"/>
      <x:c r="Q3" s="33"/>
    </x:row>
    <x:row r="4" ht="28" customHeight="1">
      <x:c r="A4" s="21"/>
      <x:c r="B4" s="21"/>
      <x:c r="C4" s="21"/>
      <x:c r="D4" s="21"/>
      <x:c r="E4" s="21"/>
      <x:c r="F4" s="21"/>
      <x:c r="G4" s="73" t="str">
        <x:v>I管理図（mm）</x:v>
      </x:c>
      <x:c r="H4" s="73" t="str">
        <x:v>結果</x:v>
      </x:c>
      <x:c r="I4" s="21"/>
      <x:c r="J4" s="21"/>
      <x:c r="K4" s="73" t="str">
        <x:v>MR管理図（mm）</x:v>
      </x:c>
      <x:c r="L4" s="73" t="str">
        <x:v>結果</x:v>
      </x:c>
      <x:c r="M4" s="21"/>
      <x:c r="N4" s="21"/>
      <x:c r="O4" s="21"/>
      <x:c r="P4" s="21"/>
      <x:c r="Q4" s="21"/>
    </x:row>
    <x:row r="5" ht="24" customHeight="1">
      <x:c r="A5" s="42" t="str">
        <x:v>使用範囲：最大200時点。B列だけ入力・貼り付け。0も有効な測定値です。</x:v>
      </x:c>
      <x:c r="B5" s="43"/>
      <x:c r="C5" s="43"/>
      <x:c r="D5" s="43"/>
      <x:c r="E5" s="44"/>
      <x:c r="F5" s="21"/>
      <x:c r="G5" s="67" t="str">
        <x:v>測定値の数</x:v>
      </x:c>
      <x:c r="H5" s="91" t="n">
        <x:f>COUNT(B18:B217)</x:f>
        <x:v>20</x:v>
      </x:c>
      <x:c r="I5" s="21"/>
      <x:c r="J5" s="21"/>
      <x:c r="K5" s="67" t="str">
        <x:v>MRの数</x:v>
      </x:c>
      <x:c r="L5" s="91" t="n">
        <x:f>COUNT(C19:C217)</x:f>
        <x:v>19</x:v>
      </x:c>
      <x:c r="M5" s="21"/>
      <x:c r="N5" s="21"/>
      <x:c r="O5" s="21"/>
      <x:c r="P5" s="21"/>
      <x:c r="Q5" s="21"/>
    </x:row>
    <x:row r="6" ht="24" customHeight="1">
      <x:c r="A6" s="45"/>
      <x:c r="B6" s="46"/>
      <x:c r="C6" s="46"/>
      <x:c r="D6" s="46"/>
      <x:c r="E6" s="47"/>
      <x:c r="F6" s="21"/>
      <x:c r="G6" s="67" t="str">
        <x:v>平均／CL</x:v>
      </x:c>
      <x:c r="H6" s="68" t="n">
        <x:f>IF(H5&gt;0,AVERAGE(B18:B217),"")</x:f>
        <x:v>100.215</x:v>
      </x:c>
      <x:c r="I6" s="21"/>
      <x:c r="J6" s="21"/>
      <x:c r="K6" s="67" t="str">
        <x:v>平均MR／CL</x:v>
      </x:c>
      <x:c r="L6" s="68" t="n">
        <x:f>IF(L5&gt;0,AVERAGE(C19:C217),"")</x:f>
        <x:v>0.6263157894736837</x:v>
      </x:c>
      <x:c r="M6" s="21"/>
      <x:c r="N6" s="21"/>
      <x:c r="O6" s="21"/>
      <x:c r="P6" s="21"/>
      <x:c r="Q6" s="21"/>
    </x:row>
    <x:row r="7" ht="24" customHeight="1">
      <x:c r="A7" s="21"/>
      <x:c r="B7" s="21"/>
      <x:c r="C7" s="21"/>
      <x:c r="D7" s="21"/>
      <x:c r="E7" s="21"/>
      <x:c r="F7" s="21"/>
      <x:c r="G7" s="67" t="str">
        <x:v>UCL</x:v>
      </x:c>
      <x:c r="H7" s="68" t="n">
        <x:f>IF($H$12="計算可能",H6+2.66*L6,"")</x:f>
        <x:v>101.881</x:v>
      </x:c>
      <x:c r="I7" s="21"/>
      <x:c r="J7" s="21"/>
      <x:c r="K7" s="67" t="str">
        <x:v>UCL</x:v>
      </x:c>
      <x:c r="L7" s="68" t="n">
        <x:f>IF($H$12="計算可能",3.267*L6,"")</x:f>
        <x:v>2.0461736842105247</x:v>
      </x:c>
      <x:c r="M7" s="21"/>
      <x:c r="N7" s="21"/>
      <x:c r="O7" s="21"/>
      <x:c r="P7" s="21"/>
      <x:c r="Q7" s="21"/>
    </x:row>
    <x:row r="8" ht="24" customHeight="1">
      <x:c r="A8" s="42" t="str">
        <x:v>欠測は行を残して空欄にします。欠測をまたぐMRは計算しません。</x:v>
      </x:c>
      <x:c r="B8" s="43"/>
      <x:c r="C8" s="43"/>
      <x:c r="D8" s="43"/>
      <x:c r="E8" s="44"/>
      <x:c r="F8" s="21"/>
      <x:c r="G8" s="67" t="str">
        <x:v>LCL</x:v>
      </x:c>
      <x:c r="H8" s="68" t="n">
        <x:f>IF($H$12="計算可能",H6-2.66*L6,"")</x:f>
        <x:v>98.549</x:v>
      </x:c>
      <x:c r="I8" s="21"/>
      <x:c r="J8" s="21"/>
      <x:c r="K8" s="67" t="str">
        <x:v>LCL</x:v>
      </x:c>
      <x:c r="L8" s="68" t="n">
        <x:f>IF($H$12="計算可能",0,"")</x:f>
        <x:v>0</x:v>
      </x:c>
      <x:c r="M8" s="21"/>
      <x:c r="N8" s="21"/>
      <x:c r="O8" s="21"/>
      <x:c r="P8" s="21"/>
      <x:c r="Q8" s="21"/>
    </x:row>
    <x:row r="9" ht="24" customHeight="1">
      <x:c r="A9" s="45"/>
      <x:c r="B9" s="46"/>
      <x:c r="C9" s="46"/>
      <x:c r="D9" s="46"/>
      <x:c r="E9" s="47"/>
      <x:c r="F9" s="21"/>
      <x:c r="G9" s="67" t="str">
        <x:v>I管理外の点数</x:v>
      </x:c>
      <x:c r="H9" s="91" t="n">
        <x:f>COUNTIF(D18:D217,"管理外")</x:f>
        <x:v>1</x:v>
      </x:c>
      <x:c r="I9" s="21"/>
      <x:c r="J9" s="21"/>
      <x:c r="K9" s="67" t="str">
        <x:v>MR管理外の点数</x:v>
      </x:c>
      <x:c r="L9" s="91" t="n">
        <x:f>COUNTIF(E18:E217,"管理外")</x:f>
        <x:v>2</x:v>
      </x:c>
      <x:c r="M9" s="21"/>
      <x:c r="N9" s="21"/>
      <x:c r="O9" s="21"/>
      <x:c r="P9" s="21"/>
      <x:c r="Q9" s="21"/>
    </x:row>
    <x:row r="10" ht="24" customHeight="1">
      <x:c r="A10" s="21"/>
      <x:c r="B10" s="21"/>
      <x:c r="C10" s="21"/>
      <x:c r="D10" s="21"/>
      <x:c r="E10" s="21"/>
      <x:c r="F10" s="21"/>
      <x:c r="G10" s="67" t="str">
        <x:v>最終入力No.</x:v>
      </x:c>
      <x:c r="H10" s="91" t="n">
        <x:f>MAX(A18:A217)</x:f>
        <x:v>20</x:v>
      </x:c>
      <x:c r="I10" s="21"/>
      <x:c r="J10" s="21"/>
      <x:c r="K10" s="67" t="str">
        <x:v>MR合計</x:v>
      </x:c>
      <x:c r="L10" s="70" t="n">
        <x:f>SUM(C19:C217)</x:f>
        <x:v>11.899999999999991</x:v>
      </x:c>
      <x:c r="M10" s="21"/>
      <x:c r="N10" s="21"/>
      <x:c r="O10" s="21"/>
      <x:c r="P10" s="21"/>
      <x:c r="Q10" s="21"/>
    </x:row>
    <x:row r="11" ht="21" customHeight="1">
      <x:c r="A11" s="42" t="str">
        <x:v>「管理外」は1点の管理限界超過のみ。連・傾向などは自動判定していません。</x:v>
      </x:c>
      <x:c r="B11" s="43"/>
      <x:c r="C11" s="43"/>
      <x:c r="D11" s="43"/>
      <x:c r="E11" s="44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</x:row>
    <x:row r="12" ht="26" customHeight="1">
      <x:c r="A12" s="45"/>
      <x:c r="B12" s="46"/>
      <x:c r="C12" s="46"/>
      <x:c r="D12" s="46"/>
      <x:c r="E12" s="47"/>
      <x:c r="F12" s="21"/>
      <x:c r="G12" s="98" t="str">
        <x:v>入力チェック</x:v>
      </x:c>
      <x:c r="H12" s="99" t="str">
        <x:f>IF(COUNTA(B18:B217)&lt;&gt;COUNT(B18:B217),"数値以外の入力があります",IF(OR(H5&lt;2,L5&lt;1),"隣接する測定値が2個以上必要です",IF(L6=0,"MRがすべて0です：測定分解能などを確認","計算可能")))</x:f>
        <x:v>計算可能</x:v>
      </x:c>
      <x:c r="I12" s="100"/>
      <x:c r="J12" s="100"/>
      <x:c r="K12" s="100"/>
      <x:c r="L12" s="100"/>
      <x:c r="M12" s="100"/>
      <x:c r="N12" s="100"/>
      <x:c r="O12" s="100"/>
      <x:c r="P12" s="100"/>
      <x:c r="Q12" s="101"/>
    </x:row>
    <x:row r="13" ht="21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</x:row>
    <x:row r="14" ht="21" customHeight="1">
      <x:c r="A14" s="55" t="str">
        <x:v>注意：全入力から限界を再計算する初期調査用です。将来の工程監視では、原因調査後の安定した基準データで限界を設定・固定してください。</x:v>
      </x:c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  <x:c r="O14" s="56"/>
      <x:c r="P14" s="56"/>
      <x:c r="Q14" s="57"/>
    </x:row>
    <x:row r="15" ht="21" customHeight="1">
      <x:c r="A15" s="58"/>
      <x:c r="B15" s="59"/>
      <x:c r="C15" s="59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59"/>
      <x:c r="O15" s="59"/>
      <x:c r="P15" s="59"/>
      <x:c r="Q15" s="60"/>
    </x:row>
    <x:row r="16" ht="21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</x:row>
    <x:row r="17" ht="28" customHeight="1">
      <x:c r="A17" s="73" t="str">
        <x:v>No.</x:v>
      </x:c>
      <x:c r="B17" s="73" t="str">
        <x:v>測定値（mm）</x:v>
      </x:c>
      <x:c r="C17" s="73" t="str">
        <x:v>MR（mm）</x:v>
      </x:c>
      <x:c r="D17" s="73" t="str">
        <x:v>I判定</x:v>
      </x:c>
      <x:c r="E17" s="73" t="str">
        <x:v>MR判定</x:v>
      </x:c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</x:row>
    <x:row r="18" ht="21" customHeight="1">
      <x:c r="A18" s="91" t="n">
        <x:f>IF(ISNUMBER(B18),1,"")</x:f>
        <x:v>1</x:v>
      </x:c>
      <x:c r="B18" s="89" t="n">
        <x:v>100.1</x:v>
      </x:c>
      <x:c r="C18" s="70"/>
      <x:c r="D18" s="67" t="str">
        <x:f>IF(AND(ISNUMBER(B18),$H$12="計算可能"),IF(OR(B18&gt;$H$7,B18&lt;$H$8),"管理外",""),"")</x:f>
      </x:c>
      <x:c r="E18" s="67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</x:row>
    <x:row r="19" ht="21" customHeight="1">
      <x:c r="A19" s="91" t="n">
        <x:f>IF(ISNUMBER(B19),2,"")</x:f>
        <x:v>2</x:v>
      </x:c>
      <x:c r="B19" s="89" t="n">
        <x:v>99.8</x:v>
      </x:c>
      <x:c r="C19" s="70" t="n">
        <x:f>IF(AND(ISNUMBER(B18),ISNUMBER(B19)),ABS(B19-B18),"")</x:f>
        <x:v>0.29999999999999716</x:v>
      </x:c>
      <x:c r="D19" s="67" t="str">
        <x:f>IF(AND(ISNUMBER(B19),$H$12="計算可能"),IF(OR(B19&gt;$H$7,B19&lt;$H$8),"管理外",""),"")</x:f>
      </x:c>
      <x:c r="E19" s="67" t="str">
        <x:f>IF(AND(ISNUMBER(C19),$H$12="計算可能"),IF(OR(C19&gt;$L$7,C19&lt;$L$8),"管理外",""),"")</x:f>
      </x:c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</x:row>
    <x:row r="20" ht="21" customHeight="1">
      <x:c r="A20" s="91" t="n">
        <x:f>IF(ISNUMBER(B20),3,"")</x:f>
        <x:v>3</x:v>
      </x:c>
      <x:c r="B20" s="89" t="n">
        <x:v>100.4</x:v>
      </x:c>
      <x:c r="C20" s="70" t="n">
        <x:f>IF(AND(ISNUMBER(B19),ISNUMBER(B20)),ABS(B20-B19),"")</x:f>
        <x:v>0.6000000000000085</x:v>
      </x:c>
      <x:c r="D20" s="67" t="str">
        <x:f>IF(AND(ISNUMBER(B20),$H$12="計算可能"),IF(OR(B20&gt;$H$7,B20&lt;$H$8),"管理外",""),"")</x:f>
      </x:c>
      <x:c r="E20" s="67" t="str">
        <x:f>IF(AND(ISNUMBER(C20),$H$12="計算可能"),IF(OR(C20&gt;$L$7,C20&lt;$L$8),"管理外",""),"")</x:f>
      </x:c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</x:row>
    <x:row r="21" ht="21" customHeight="1">
      <x:c r="A21" s="91" t="n">
        <x:f>IF(ISNUMBER(B21),4,"")</x:f>
        <x:v>4</x:v>
      </x:c>
      <x:c r="B21" s="89" t="n">
        <x:v>100</x:v>
      </x:c>
      <x:c r="C21" s="70" t="n">
        <x:f>IF(AND(ISNUMBER(B20),ISNUMBER(B21)),ABS(B21-B20),"")</x:f>
        <x:v>0.4000000000000057</x:v>
      </x:c>
      <x:c r="D21" s="67" t="str">
        <x:f>IF(AND(ISNUMBER(B21),$H$12="計算可能"),IF(OR(B21&gt;$H$7,B21&lt;$H$8),"管理外",""),"")</x:f>
      </x:c>
      <x:c r="E21" s="67" t="str">
        <x:f>IF(AND(ISNUMBER(C21),$H$12="計算可能"),IF(OR(C21&gt;$L$7,C21&lt;$L$8),"管理外",""),"")</x:f>
      </x:c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</x:row>
    <x:row r="22" ht="21" customHeight="1">
      <x:c r="A22" s="91" t="n">
        <x:f>IF(ISNUMBER(B22),5,"")</x:f>
        <x:v>5</x:v>
      </x:c>
      <x:c r="B22" s="89" t="n">
        <x:v>99.7</x:v>
      </x:c>
      <x:c r="C22" s="70" t="n">
        <x:f>IF(AND(ISNUMBER(B21),ISNUMBER(B22)),ABS(B22-B21),"")</x:f>
        <x:v>0.29999999999999716</x:v>
      </x:c>
      <x:c r="D22" s="67" t="str">
        <x:f>IF(AND(ISNUMBER(B22),$H$12="計算可能"),IF(OR(B22&gt;$H$7,B22&lt;$H$8),"管理外",""),"")</x:f>
      </x:c>
      <x:c r="E22" s="67" t="str">
        <x:f>IF(AND(ISNUMBER(C22),$H$12="計算可能"),IF(OR(C22&gt;$L$7,C22&lt;$L$8),"管理外",""),"")</x:f>
      </x:c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</x:row>
    <x:row r="23" ht="21" customHeight="1">
      <x:c r="A23" s="91" t="n">
        <x:f>IF(ISNUMBER(B23),6,"")</x:f>
        <x:v>6</x:v>
      </x:c>
      <x:c r="B23" s="89" t="n">
        <x:v>100.2</x:v>
      </x:c>
      <x:c r="C23" s="70" t="n">
        <x:f>IF(AND(ISNUMBER(B22),ISNUMBER(B23)),ABS(B23-B22),"")</x:f>
        <x:v>0.5</x:v>
      </x:c>
      <x:c r="D23" s="67" t="str">
        <x:f>IF(AND(ISNUMBER(B23),$H$12="計算可能"),IF(OR(B23&gt;$H$7,B23&lt;$H$8),"管理外",""),"")</x:f>
      </x:c>
      <x:c r="E23" s="67" t="str">
        <x:f>IF(AND(ISNUMBER(C23),$H$12="計算可能"),IF(OR(C23&gt;$L$7,C23&lt;$L$8),"管理外",""),"")</x:f>
      </x:c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</x:row>
    <x:row r="24" ht="21" customHeight="1">
      <x:c r="A24" s="91" t="n">
        <x:f>IF(ISNUMBER(B24),7,"")</x:f>
        <x:v>7</x:v>
      </x:c>
      <x:c r="B24" s="89" t="n">
        <x:v>100.5</x:v>
      </x:c>
      <x:c r="C24" s="70" t="n">
        <x:f>IF(AND(ISNUMBER(B23),ISNUMBER(B24)),ABS(B24-B23),"")</x:f>
        <x:v>0.29999999999999716</x:v>
      </x:c>
      <x:c r="D24" s="67" t="str">
        <x:f>IF(AND(ISNUMBER(B24),$H$12="計算可能"),IF(OR(B24&gt;$H$7,B24&lt;$H$8),"管理外",""),"")</x:f>
      </x:c>
      <x:c r="E24" s="67" t="str">
        <x:f>IF(AND(ISNUMBER(C24),$H$12="計算可能"),IF(OR(C24&gt;$L$7,C24&lt;$L$8),"管理外",""),"")</x:f>
      </x:c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</x:row>
    <x:row r="25" ht="21" customHeight="1">
      <x:c r="A25" s="91" t="n">
        <x:f>IF(ISNUMBER(B25),8,"")</x:f>
        <x:v>8</x:v>
      </x:c>
      <x:c r="B25" s="89" t="n">
        <x:v>99.9</x:v>
      </x:c>
      <x:c r="C25" s="70" t="n">
        <x:f>IF(AND(ISNUMBER(B24),ISNUMBER(B25)),ABS(B25-B24),"")</x:f>
        <x:v>0.5999999999999943</x:v>
      </x:c>
      <x:c r="D25" s="67" t="str">
        <x:f>IF(AND(ISNUMBER(B25),$H$12="計算可能"),IF(OR(B25&gt;$H$7,B25&lt;$H$8),"管理外",""),"")</x:f>
      </x:c>
      <x:c r="E25" s="67" t="str">
        <x:f>IF(AND(ISNUMBER(C25),$H$12="計算可能"),IF(OR(C25&gt;$L$7,C25&lt;$L$8),"管理外",""),"")</x:f>
      </x:c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</x:row>
    <x:row r="26" ht="21" customHeight="1">
      <x:c r="A26" s="91" t="n">
        <x:f>IF(ISNUMBER(B26),9,"")</x:f>
        <x:v>9</x:v>
      </x:c>
      <x:c r="B26" s="89" t="n">
        <x:v>100.1</x:v>
      </x:c>
      <x:c r="C26" s="70" t="n">
        <x:f>IF(AND(ISNUMBER(B25),ISNUMBER(B26)),ABS(B26-B25),"")</x:f>
        <x:v>0.19999999999998863</x:v>
      </x:c>
      <x:c r="D26" s="67" t="str">
        <x:f>IF(AND(ISNUMBER(B26),$H$12="計算可能"),IF(OR(B26&gt;$H$7,B26&lt;$H$8),"管理外",""),"")</x:f>
      </x:c>
      <x:c r="E26" s="67" t="str">
        <x:f>IF(AND(ISNUMBER(C26),$H$12="計算可能"),IF(OR(C26&gt;$L$7,C26&lt;$L$8),"管理外",""),"")</x:f>
      </x:c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</x:row>
    <x:row r="27" ht="21" customHeight="1">
      <x:c r="A27" s="91" t="n">
        <x:f>IF(ISNUMBER(B27),10,"")</x:f>
        <x:v>10</x:v>
      </x:c>
      <x:c r="B27" s="89" t="n">
        <x:v>100.3</x:v>
      </x:c>
      <x:c r="C27" s="70" t="n">
        <x:f>IF(AND(ISNUMBER(B26),ISNUMBER(B27)),ABS(B27-B26),"")</x:f>
        <x:v>0.20000000000000284</x:v>
      </x:c>
      <x:c r="D27" s="67" t="str">
        <x:f>IF(AND(ISNUMBER(B27),$H$12="計算可能"),IF(OR(B27&gt;$H$7,B27&lt;$H$8),"管理外",""),"")</x:f>
      </x:c>
      <x:c r="E27" s="67" t="str">
        <x:f>IF(AND(ISNUMBER(C27),$H$12="計算可能"),IF(OR(C27&gt;$L$7,C27&lt;$L$8),"管理外",""),"")</x:f>
      </x:c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</x:row>
    <x:row r="28" ht="21" customHeight="1">
      <x:c r="A28" s="91" t="n">
        <x:f>IF(ISNUMBER(B28),11,"")</x:f>
        <x:v>11</x:v>
      </x:c>
      <x:c r="B28" s="89" t="n">
        <x:v>99.8</x:v>
      </x:c>
      <x:c r="C28" s="70" t="n">
        <x:f>IF(AND(ISNUMBER(B27),ISNUMBER(B28)),ABS(B28-B27),"")</x:f>
        <x:v>0.5</x:v>
      </x:c>
      <x:c r="D28" s="67" t="str">
        <x:f>IF(AND(ISNUMBER(B28),$H$12="計算可能"),IF(OR(B28&gt;$H$7,B28&lt;$H$8),"管理外",""),"")</x:f>
      </x:c>
      <x:c r="E28" s="67" t="str">
        <x:f>IF(AND(ISNUMBER(C28),$H$12="計算可能"),IF(OR(C28&gt;$L$7,C28&lt;$L$8),"管理外",""),"")</x:f>
      </x:c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</x:row>
    <x:row r="29" ht="21" customHeight="1">
      <x:c r="A29" s="91" t="n">
        <x:f>IF(ISNUMBER(B29),12,"")</x:f>
        <x:v>12</x:v>
      </x:c>
      <x:c r="B29" s="89" t="n">
        <x:v>100</x:v>
      </x:c>
      <x:c r="C29" s="70" t="n">
        <x:f>IF(AND(ISNUMBER(B28),ISNUMBER(B29)),ABS(B29-B28),"")</x:f>
        <x:v>0.20000000000000284</x:v>
      </x:c>
      <x:c r="D29" s="67" t="str">
        <x:f>IF(AND(ISNUMBER(B29),$H$12="計算可能"),IF(OR(B29&gt;$H$7,B29&lt;$H$8),"管理外",""),"")</x:f>
      </x:c>
      <x:c r="E29" s="67" t="str">
        <x:f>IF(AND(ISNUMBER(C29),$H$12="計算可能"),IF(OR(C29&gt;$L$7,C29&lt;$L$8),"管理外",""),"")</x:f>
      </x:c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</x:row>
    <x:row r="30" ht="21" customHeight="1">
      <x:c r="A30" s="91" t="n">
        <x:f>IF(ISNUMBER(B30),13,"")</x:f>
        <x:v>13</x:v>
      </x:c>
      <x:c r="B30" s="89" t="n">
        <x:v>100.2</x:v>
      </x:c>
      <x:c r="C30" s="70" t="n">
        <x:f>IF(AND(ISNUMBER(B29),ISNUMBER(B30)),ABS(B30-B29),"")</x:f>
        <x:v>0.20000000000000284</x:v>
      </x:c>
      <x:c r="D30" s="67" t="str">
        <x:f>IF(AND(ISNUMBER(B30),$H$12="計算可能"),IF(OR(B30&gt;$H$7,B30&lt;$H$8),"管理外",""),"")</x:f>
      </x:c>
      <x:c r="E30" s="67" t="str">
        <x:f>IF(AND(ISNUMBER(C30),$H$12="計算可能"),IF(OR(C30&gt;$L$7,C30&lt;$L$8),"管理外",""),"")</x:f>
      </x:c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</x:row>
    <x:row r="31" ht="21" customHeight="1">
      <x:c r="A31" s="91" t="n">
        <x:f>IF(ISNUMBER(B31),14,"")</x:f>
        <x:v>14</x:v>
      </x:c>
      <x:c r="B31" s="89" t="n">
        <x:v>99.9</x:v>
      </x:c>
      <x:c r="C31" s="70" t="n">
        <x:f>IF(AND(ISNUMBER(B30),ISNUMBER(B31)),ABS(B31-B30),"")</x:f>
        <x:v>0.29999999999999716</x:v>
      </x:c>
      <x:c r="D31" s="67" t="str">
        <x:f>IF(AND(ISNUMBER(B31),$H$12="計算可能"),IF(OR(B31&gt;$H$7,B31&lt;$H$8),"管理外",""),"")</x:f>
      </x:c>
      <x:c r="E31" s="67" t="str">
        <x:f>IF(AND(ISNUMBER(C31),$H$12="計算可能"),IF(OR(C31&gt;$L$7,C31&lt;$L$8),"管理外",""),"")</x:f>
      </x:c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</x:row>
    <x:row r="32" ht="21" customHeight="1">
      <x:c r="A32" s="91" t="n">
        <x:f>IF(ISNUMBER(B32),15,"")</x:f>
        <x:v>15</x:v>
      </x:c>
      <x:c r="B32" s="89" t="n">
        <x:v>100.4</x:v>
      </x:c>
      <x:c r="C32" s="70" t="n">
        <x:f>IF(AND(ISNUMBER(B31),ISNUMBER(B32)),ABS(B32-B31),"")</x:f>
        <x:v>0.5</x:v>
      </x:c>
      <x:c r="D32" s="67" t="str">
        <x:f>IF(AND(ISNUMBER(B32),$H$12="計算可能"),IF(OR(B32&gt;$H$7,B32&lt;$H$8),"管理外",""),"")</x:f>
      </x:c>
      <x:c r="E32" s="67" t="str">
        <x:f>IF(AND(ISNUMBER(C32),$H$12="計算可能"),IF(OR(C32&gt;$L$7,C32&lt;$L$8),"管理外",""),"")</x:f>
      </x:c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</x:row>
    <x:row r="33" ht="21" customHeight="1">
      <x:c r="A33" s="91" t="n">
        <x:f>IF(ISNUMBER(B33),16,"")</x:f>
        <x:v>16</x:v>
      </x:c>
      <x:c r="B33" s="89" t="n">
        <x:v>100.1</x:v>
      </x:c>
      <x:c r="C33" s="70" t="n">
        <x:f>IF(AND(ISNUMBER(B32),ISNUMBER(B33)),ABS(B33-B32),"")</x:f>
        <x:v>0.30000000000001137</x:v>
      </x:c>
      <x:c r="D33" s="67" t="str">
        <x:f>IF(AND(ISNUMBER(B33),$H$12="計算可能"),IF(OR(B33&gt;$H$7,B33&lt;$H$8),"管理外",""),"")</x:f>
      </x:c>
      <x:c r="E33" s="67" t="str">
        <x:f>IF(AND(ISNUMBER(C33),$H$12="計算可能"),IF(OR(C33&gt;$L$7,C33&lt;$L$8),"管理外",""),"")</x:f>
      </x:c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</x:row>
    <x:row r="34" ht="21" customHeight="1">
      <x:c r="A34" s="91" t="n">
        <x:f>IF(ISNUMBER(B34),17,"")</x:f>
        <x:v>17</x:v>
      </x:c>
      <x:c r="B34" s="89" t="n">
        <x:v>99.7</x:v>
      </x:c>
      <x:c r="C34" s="70" t="n">
        <x:f>IF(AND(ISNUMBER(B33),ISNUMBER(B34)),ABS(B34-B33),"")</x:f>
        <x:v>0.3999999999999915</x:v>
      </x:c>
      <x:c r="D34" s="67" t="str">
        <x:f>IF(AND(ISNUMBER(B34),$H$12="計算可能"),IF(OR(B34&gt;$H$7,B34&lt;$H$8),"管理外",""),"")</x:f>
      </x:c>
      <x:c r="E34" s="67" t="str">
        <x:f>IF(AND(ISNUMBER(C34),$H$12="計算可能"),IF(OR(C34&gt;$L$7,C34&lt;$L$8),"管理外",""),"")</x:f>
      </x:c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</x:row>
    <x:row r="35" ht="21" customHeight="1">
      <x:c r="A35" s="91" t="n">
        <x:f>IF(ISNUMBER(B35),18,"")</x:f>
        <x:v>18</x:v>
      </x:c>
      <x:c r="B35" s="89" t="n">
        <x:v>100</x:v>
      </x:c>
      <x:c r="C35" s="70" t="n">
        <x:f>IF(AND(ISNUMBER(B34),ISNUMBER(B35)),ABS(B35-B34),"")</x:f>
        <x:v>0.29999999999999716</x:v>
      </x:c>
      <x:c r="D35" s="67" t="str">
        <x:f>IF(AND(ISNUMBER(B35),$H$12="計算可能"),IF(OR(B35&gt;$H$7,B35&lt;$H$8),"管理外",""),"")</x:f>
      </x:c>
      <x:c r="E35" s="67" t="str">
        <x:f>IF(AND(ISNUMBER(C35),$H$12="計算可能"),IF(OR(C35&gt;$L$7,C35&lt;$L$8),"管理外",""),"")</x:f>
      </x:c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</x:row>
    <x:row r="36" ht="21" customHeight="1">
      <x:c r="A36" s="91" t="n">
        <x:f>IF(ISNUMBER(B36),19,"")</x:f>
        <x:v>19</x:v>
      </x:c>
      <x:c r="B36" s="89" t="n">
        <x:v>103</x:v>
      </x:c>
      <x:c r="C36" s="70" t="n">
        <x:f>IF(AND(ISNUMBER(B35),ISNUMBER(B36)),ABS(B36-B35),"")</x:f>
        <x:v>3</x:v>
      </x:c>
      <x:c r="D36" s="67" t="str">
        <x:f>IF(AND(ISNUMBER(B36),$H$12="計算可能"),IF(OR(B36&gt;$H$7,B36&lt;$H$8),"管理外",""),"")</x:f>
        <x:v>管理外</x:v>
      </x:c>
      <x:c r="E36" s="67" t="str">
        <x:f>IF(AND(ISNUMBER(C36),$H$12="計算可能"),IF(OR(C36&gt;$L$7,C36&lt;$L$8),"管理外",""),"")</x:f>
        <x:v>管理外</x:v>
      </x:c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</x:row>
    <x:row r="37" ht="21" customHeight="1">
      <x:c r="A37" s="91" t="n">
        <x:f>IF(ISNUMBER(B37),20,"")</x:f>
        <x:v>20</x:v>
      </x:c>
      <x:c r="B37" s="89" t="n">
        <x:v>100.2</x:v>
      </x:c>
      <x:c r="C37" s="70" t="n">
        <x:f>IF(AND(ISNUMBER(B36),ISNUMBER(B37)),ABS(B37-B36),"")</x:f>
        <x:v>2.799999999999997</x:v>
      </x:c>
      <x:c r="D37" s="67" t="str">
        <x:f>IF(AND(ISNUMBER(B37),$H$12="計算可能"),IF(OR(B37&gt;$H$7,B37&lt;$H$8),"管理外",""),"")</x:f>
      </x:c>
      <x:c r="E37" s="67" t="str">
        <x:f>IF(AND(ISNUMBER(C37),$H$12="計算可能"),IF(OR(C37&gt;$L$7,C37&lt;$L$8),"管理外",""),"")</x:f>
        <x:v>管理外</x:v>
      </x:c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</x:row>
    <x:row r="38" ht="21" customHeight="1">
      <x:c r="A38" s="91" t="str">
        <x:f>IF(ISNUMBER(B38),21,"")</x:f>
      </x:c>
      <x:c r="B38" s="89"/>
      <x:c r="C38" s="70" t="str">
        <x:f>IF(AND(ISNUMBER(B37),ISNUMBER(B38)),ABS(B38-B37),"")</x:f>
      </x:c>
      <x:c r="D38" s="67" t="str">
        <x:f>IF(AND(ISNUMBER(B38),$H$12="計算可能"),IF(OR(B38&gt;$H$7,B38&lt;$H$8),"管理外",""),"")</x:f>
      </x:c>
      <x:c r="E38" s="67" t="str">
        <x:f>IF(AND(ISNUMBER(C38),$H$12="計算可能"),IF(OR(C38&gt;$L$7,C38&lt;$L$8),"管理外",""),"")</x:f>
      </x:c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</x:row>
    <x:row r="39" ht="21" customHeight="1">
      <x:c r="A39" s="91" t="str">
        <x:f>IF(ISNUMBER(B39),22,"")</x:f>
      </x:c>
      <x:c r="B39" s="89"/>
      <x:c r="C39" s="70" t="str">
        <x:f>IF(AND(ISNUMBER(B38),ISNUMBER(B39)),ABS(B39-B38),"")</x:f>
      </x:c>
      <x:c r="D39" s="67" t="str">
        <x:f>IF(AND(ISNUMBER(B39),$H$12="計算可能"),IF(OR(B39&gt;$H$7,B39&lt;$H$8),"管理外",""),"")</x:f>
      </x:c>
      <x:c r="E39" s="67" t="str">
        <x:f>IF(AND(ISNUMBER(C39),$H$12="計算可能"),IF(OR(C39&gt;$L$7,C39&lt;$L$8),"管理外",""),"")</x:f>
      </x:c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</x:row>
    <x:row r="40" ht="21" customHeight="1">
      <x:c r="A40" s="91" t="str">
        <x:f>IF(ISNUMBER(B40),23,"")</x:f>
      </x:c>
      <x:c r="B40" s="89"/>
      <x:c r="C40" s="70" t="str">
        <x:f>IF(AND(ISNUMBER(B39),ISNUMBER(B40)),ABS(B40-B39),"")</x:f>
      </x:c>
      <x:c r="D40" s="67" t="str">
        <x:f>IF(AND(ISNUMBER(B40),$H$12="計算可能"),IF(OR(B40&gt;$H$7,B40&lt;$H$8),"管理外",""),"")</x:f>
      </x:c>
      <x:c r="E40" s="67" t="str">
        <x:f>IF(AND(ISNUMBER(C40),$H$12="計算可能"),IF(OR(C40&gt;$L$7,C40&lt;$L$8),"管理外",""),"")</x:f>
      </x:c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</x:row>
    <x:row r="41" ht="21" customHeight="1">
      <x:c r="A41" s="91" t="str">
        <x:f>IF(ISNUMBER(B41),24,"")</x:f>
      </x:c>
      <x:c r="B41" s="89"/>
      <x:c r="C41" s="70" t="str">
        <x:f>IF(AND(ISNUMBER(B40),ISNUMBER(B41)),ABS(B41-B40),"")</x:f>
      </x:c>
      <x:c r="D41" s="67" t="str">
        <x:f>IF(AND(ISNUMBER(B41),$H$12="計算可能"),IF(OR(B41&gt;$H$7,B41&lt;$H$8),"管理外",""),"")</x:f>
      </x:c>
      <x:c r="E41" s="67" t="str">
        <x:f>IF(AND(ISNUMBER(C41),$H$12="計算可能"),IF(OR(C41&gt;$L$7,C41&lt;$L$8),"管理外",""),"")</x:f>
      </x:c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</x:row>
    <x:row r="42" ht="21" customHeight="1">
      <x:c r="A42" s="91" t="str">
        <x:f>IF(ISNUMBER(B42),25,"")</x:f>
      </x:c>
      <x:c r="B42" s="89"/>
      <x:c r="C42" s="70" t="str">
        <x:f>IF(AND(ISNUMBER(B41),ISNUMBER(B42)),ABS(B42-B41),"")</x:f>
      </x:c>
      <x:c r="D42" s="67" t="str">
        <x:f>IF(AND(ISNUMBER(B42),$H$12="計算可能"),IF(OR(B42&gt;$H$7,B42&lt;$H$8),"管理外",""),"")</x:f>
      </x:c>
      <x:c r="E42" s="67" t="str">
        <x:f>IF(AND(ISNUMBER(C42),$H$12="計算可能"),IF(OR(C42&gt;$L$7,C42&lt;$L$8),"管理外",""),"")</x:f>
      </x:c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</x:row>
    <x:row r="43" ht="21" customHeight="1">
      <x:c r="A43" s="91" t="str">
        <x:f>IF(ISNUMBER(B43),26,"")</x:f>
      </x:c>
      <x:c r="B43" s="89"/>
      <x:c r="C43" s="70" t="str">
        <x:f>IF(AND(ISNUMBER(B42),ISNUMBER(B43)),ABS(B43-B42),"")</x:f>
      </x:c>
      <x:c r="D43" s="67" t="str">
        <x:f>IF(AND(ISNUMBER(B43),$H$12="計算可能"),IF(OR(B43&gt;$H$7,B43&lt;$H$8),"管理外",""),"")</x:f>
      </x:c>
      <x:c r="E43" s="67" t="str">
        <x:f>IF(AND(ISNUMBER(C43),$H$12="計算可能"),IF(OR(C43&gt;$L$7,C43&lt;$L$8),"管理外",""),"")</x:f>
      </x:c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</x:row>
    <x:row r="44" ht="21" customHeight="1">
      <x:c r="A44" s="91" t="str">
        <x:f>IF(ISNUMBER(B44),27,"")</x:f>
      </x:c>
      <x:c r="B44" s="89"/>
      <x:c r="C44" s="70" t="str">
        <x:f>IF(AND(ISNUMBER(B43),ISNUMBER(B44)),ABS(B44-B43),"")</x:f>
      </x:c>
      <x:c r="D44" s="67" t="str">
        <x:f>IF(AND(ISNUMBER(B44),$H$12="計算可能"),IF(OR(B44&gt;$H$7,B44&lt;$H$8),"管理外",""),"")</x:f>
      </x:c>
      <x:c r="E44" s="67" t="str">
        <x:f>IF(AND(ISNUMBER(C44),$H$12="計算可能"),IF(OR(C44&gt;$L$7,C44&lt;$L$8),"管理外",""),"")</x:f>
      </x:c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</x:row>
    <x:row r="45" ht="21" customHeight="1">
      <x:c r="A45" s="91" t="str">
        <x:f>IF(ISNUMBER(B45),28,"")</x:f>
      </x:c>
      <x:c r="B45" s="89"/>
      <x:c r="C45" s="70" t="str">
        <x:f>IF(AND(ISNUMBER(B44),ISNUMBER(B45)),ABS(B45-B44),"")</x:f>
      </x:c>
      <x:c r="D45" s="67" t="str">
        <x:f>IF(AND(ISNUMBER(B45),$H$12="計算可能"),IF(OR(B45&gt;$H$7,B45&lt;$H$8),"管理外",""),"")</x:f>
      </x:c>
      <x:c r="E45" s="67" t="str">
        <x:f>IF(AND(ISNUMBER(C45),$H$12="計算可能"),IF(OR(C45&gt;$L$7,C45&lt;$L$8),"管理外",""),"")</x:f>
      </x:c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</x:row>
    <x:row r="46" ht="21" customHeight="1">
      <x:c r="A46" s="91" t="str">
        <x:f>IF(ISNUMBER(B46),29,"")</x:f>
      </x:c>
      <x:c r="B46" s="89"/>
      <x:c r="C46" s="70" t="str">
        <x:f>IF(AND(ISNUMBER(B45),ISNUMBER(B46)),ABS(B46-B45),"")</x:f>
      </x:c>
      <x:c r="D46" s="67" t="str">
        <x:f>IF(AND(ISNUMBER(B46),$H$12="計算可能"),IF(OR(B46&gt;$H$7,B46&lt;$H$8),"管理外",""),"")</x:f>
      </x:c>
      <x:c r="E46" s="67" t="str">
        <x:f>IF(AND(ISNUMBER(C46),$H$12="計算可能"),IF(OR(C46&gt;$L$7,C46&lt;$L$8),"管理外",""),"")</x:f>
      </x:c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</x:row>
    <x:row r="47" ht="21" customHeight="1">
      <x:c r="A47" s="91" t="str">
        <x:f>IF(ISNUMBER(B47),30,"")</x:f>
      </x:c>
      <x:c r="B47" s="89"/>
      <x:c r="C47" s="70" t="str">
        <x:f>IF(AND(ISNUMBER(B46),ISNUMBER(B47)),ABS(B47-B46),"")</x:f>
      </x:c>
      <x:c r="D47" s="67" t="str">
        <x:f>IF(AND(ISNUMBER(B47),$H$12="計算可能"),IF(OR(B47&gt;$H$7,B47&lt;$H$8),"管理外",""),"")</x:f>
      </x:c>
      <x:c r="E47" s="67" t="str">
        <x:f>IF(AND(ISNUMBER(C47),$H$12="計算可能"),IF(OR(C47&gt;$L$7,C47&lt;$L$8),"管理外",""),"")</x:f>
      </x:c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</x:row>
    <x:row r="48" ht="21" customHeight="1">
      <x:c r="A48" s="91" t="str">
        <x:f>IF(ISNUMBER(B48),31,"")</x:f>
      </x:c>
      <x:c r="B48" s="89"/>
      <x:c r="C48" s="70" t="str">
        <x:f>IF(AND(ISNUMBER(B47),ISNUMBER(B48)),ABS(B48-B47),"")</x:f>
      </x:c>
      <x:c r="D48" s="67" t="str">
        <x:f>IF(AND(ISNUMBER(B48),$H$12="計算可能"),IF(OR(B48&gt;$H$7,B48&lt;$H$8),"管理外",""),"")</x:f>
      </x:c>
      <x:c r="E48" s="67" t="str">
        <x:f>IF(AND(ISNUMBER(C48),$H$12="計算可能"),IF(OR(C48&gt;$L$7,C48&lt;$L$8),"管理外",""),"")</x:f>
      </x:c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</x:row>
    <x:row r="49" ht="21" customHeight="1">
      <x:c r="A49" s="91" t="str">
        <x:f>IF(ISNUMBER(B49),32,"")</x:f>
      </x:c>
      <x:c r="B49" s="89"/>
      <x:c r="C49" s="70" t="str">
        <x:f>IF(AND(ISNUMBER(B48),ISNUMBER(B49)),ABS(B49-B48),"")</x:f>
      </x:c>
      <x:c r="D49" s="67" t="str">
        <x:f>IF(AND(ISNUMBER(B49),$H$12="計算可能"),IF(OR(B49&gt;$H$7,B49&lt;$H$8),"管理外",""),"")</x:f>
      </x:c>
      <x:c r="E49" s="67" t="str">
        <x:f>IF(AND(ISNUMBER(C49),$H$12="計算可能"),IF(OR(C49&gt;$L$7,C49&lt;$L$8),"管理外",""),"")</x:f>
      </x:c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</x:row>
    <x:row r="50" ht="21" customHeight="1">
      <x:c r="A50" s="91" t="str">
        <x:f>IF(ISNUMBER(B50),33,"")</x:f>
      </x:c>
      <x:c r="B50" s="89"/>
      <x:c r="C50" s="70" t="str">
        <x:f>IF(AND(ISNUMBER(B49),ISNUMBER(B50)),ABS(B50-B49),"")</x:f>
      </x:c>
      <x:c r="D50" s="67" t="str">
        <x:f>IF(AND(ISNUMBER(B50),$H$12="計算可能"),IF(OR(B50&gt;$H$7,B50&lt;$H$8),"管理外",""),"")</x:f>
      </x:c>
      <x:c r="E50" s="67" t="str">
        <x:f>IF(AND(ISNUMBER(C50),$H$12="計算可能"),IF(OR(C50&gt;$L$7,C50&lt;$L$8),"管理外",""),"")</x:f>
      </x:c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</x:row>
    <x:row r="51" ht="21" customHeight="1">
      <x:c r="A51" s="91" t="str">
        <x:f>IF(ISNUMBER(B51),34,"")</x:f>
      </x:c>
      <x:c r="B51" s="89"/>
      <x:c r="C51" s="70" t="str">
        <x:f>IF(AND(ISNUMBER(B50),ISNUMBER(B51)),ABS(B51-B50),"")</x:f>
      </x:c>
      <x:c r="D51" s="67" t="str">
        <x:f>IF(AND(ISNUMBER(B51),$H$12="計算可能"),IF(OR(B51&gt;$H$7,B51&lt;$H$8),"管理外",""),"")</x:f>
      </x:c>
      <x:c r="E51" s="67" t="str">
        <x:f>IF(AND(ISNUMBER(C51),$H$12="計算可能"),IF(OR(C51&gt;$L$7,C51&lt;$L$8),"管理外",""),"")</x:f>
      </x:c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</x:row>
    <x:row r="52" ht="21" customHeight="1">
      <x:c r="A52" s="91" t="str">
        <x:f>IF(ISNUMBER(B52),35,"")</x:f>
      </x:c>
      <x:c r="B52" s="89"/>
      <x:c r="C52" s="70" t="str">
        <x:f>IF(AND(ISNUMBER(B51),ISNUMBER(B52)),ABS(B52-B51),"")</x:f>
      </x:c>
      <x:c r="D52" s="67" t="str">
        <x:f>IF(AND(ISNUMBER(B52),$H$12="計算可能"),IF(OR(B52&gt;$H$7,B52&lt;$H$8),"管理外",""),"")</x:f>
      </x:c>
      <x:c r="E52" s="67" t="str">
        <x:f>IF(AND(ISNUMBER(C52),$H$12="計算可能"),IF(OR(C52&gt;$L$7,C52&lt;$L$8),"管理外",""),"")</x:f>
      </x:c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</x:row>
    <x:row r="53" ht="21" customHeight="1">
      <x:c r="A53" s="91" t="str">
        <x:f>IF(ISNUMBER(B53),36,"")</x:f>
      </x:c>
      <x:c r="B53" s="89"/>
      <x:c r="C53" s="70" t="str">
        <x:f>IF(AND(ISNUMBER(B52),ISNUMBER(B53)),ABS(B53-B52),"")</x:f>
      </x:c>
      <x:c r="D53" s="67" t="str">
        <x:f>IF(AND(ISNUMBER(B53),$H$12="計算可能"),IF(OR(B53&gt;$H$7,B53&lt;$H$8),"管理外",""),"")</x:f>
      </x:c>
      <x:c r="E53" s="67" t="str">
        <x:f>IF(AND(ISNUMBER(C53),$H$12="計算可能"),IF(OR(C53&gt;$L$7,C53&lt;$L$8),"管理外",""),"")</x:f>
      </x:c>
      <x:c r="F53" s="21"/>
      <x:c r="G53" s="49" t="str">
        <x:v>読み方：MR図で隣接する変化を確認し、次にI図で測定値の水準を確認します。管理外＝規格外ではありません。</x:v>
      </x:c>
      <x:c r="H53" s="50"/>
      <x:c r="I53" s="50"/>
      <x:c r="J53" s="50"/>
      <x:c r="K53" s="50"/>
      <x:c r="L53" s="50"/>
      <x:c r="M53" s="50"/>
      <x:c r="N53" s="50"/>
      <x:c r="O53" s="50"/>
      <x:c r="P53" s="50"/>
      <x:c r="Q53" s="51"/>
    </x:row>
    <x:row r="54" ht="21" customHeight="1">
      <x:c r="A54" s="91" t="str">
        <x:f>IF(ISNUMBER(B54),37,"")</x:f>
      </x:c>
      <x:c r="B54" s="89"/>
      <x:c r="C54" s="70" t="str">
        <x:f>IF(AND(ISNUMBER(B53),ISNUMBER(B54)),ABS(B54-B53),"")</x:f>
      </x:c>
      <x:c r="D54" s="67" t="str">
        <x:f>IF(AND(ISNUMBER(B54),$H$12="計算可能"),IF(OR(B54&gt;$H$7,B54&lt;$H$8),"管理外",""),"")</x:f>
      </x:c>
      <x:c r="E54" s="67" t="str">
        <x:f>IF(AND(ISNUMBER(C54),$H$12="計算可能"),IF(OR(C54&gt;$L$7,C54&lt;$L$8),"管理外",""),"")</x:f>
      </x:c>
      <x:c r="F54" s="21"/>
      <x:c r="G54" s="52"/>
      <x:c r="H54" s="53"/>
      <x:c r="I54" s="53"/>
      <x:c r="J54" s="53"/>
      <x:c r="K54" s="53"/>
      <x:c r="L54" s="53"/>
      <x:c r="M54" s="53"/>
      <x:c r="N54" s="53"/>
      <x:c r="O54" s="53"/>
      <x:c r="P54" s="53"/>
      <x:c r="Q54" s="54"/>
    </x:row>
    <x:row r="55" ht="21" customHeight="1">
      <x:c r="A55" s="91" t="str">
        <x:f>IF(ISNUMBER(B55),38,"")</x:f>
      </x:c>
      <x:c r="B55" s="89"/>
      <x:c r="C55" s="70" t="str">
        <x:f>IF(AND(ISNUMBER(B54),ISNUMBER(B55)),ABS(B55-B54),"")</x:f>
      </x:c>
      <x:c r="D55" s="67" t="str">
        <x:f>IF(AND(ISNUMBER(B55),$H$12="計算可能"),IF(OR(B55&gt;$H$7,B55&lt;$H$8),"管理外",""),"")</x:f>
      </x:c>
      <x:c r="E55" s="67" t="str">
        <x:f>IF(AND(ISNUMBER(C55),$H$12="計算可能"),IF(OR(C55&gt;$L$7,C55&lt;$L$8),"管理外",""),"")</x:f>
      </x:c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</x:row>
    <x:row r="56" ht="21" customHeight="1">
      <x:c r="A56" s="91" t="str">
        <x:f>IF(ISNUMBER(B56),39,"")</x:f>
      </x:c>
      <x:c r="B56" s="89"/>
      <x:c r="C56" s="70" t="str">
        <x:f>IF(AND(ISNUMBER(B55),ISNUMBER(B56)),ABS(B56-B55),"")</x:f>
      </x:c>
      <x:c r="D56" s="67" t="str">
        <x:f>IF(AND(ISNUMBER(B56),$H$12="計算可能"),IF(OR(B56&gt;$H$7,B56&lt;$H$8),"管理外",""),"")</x:f>
      </x:c>
      <x:c r="E56" s="67" t="str">
        <x:f>IF(AND(ISNUMBER(C56),$H$12="計算可能"),IF(OR(C56&gt;$L$7,C56&lt;$L$8),"管理外",""),"")</x:f>
      </x:c>
      <x:c r="F56" s="21"/>
      <x:c r="G56" s="49" t="str">
        <x:v>No.19の上昇とNo.20への戻りでMRが2点外れます。管理外の点を自動削除せず、設備・材料・測定履歴を調査してください。</x:v>
      </x:c>
      <x:c r="H56" s="50"/>
      <x:c r="I56" s="50"/>
      <x:c r="J56" s="50"/>
      <x:c r="K56" s="50"/>
      <x:c r="L56" s="50"/>
      <x:c r="M56" s="50"/>
      <x:c r="N56" s="50"/>
      <x:c r="O56" s="50"/>
      <x:c r="P56" s="50"/>
      <x:c r="Q56" s="51"/>
    </x:row>
    <x:row r="57" ht="21" customHeight="1">
      <x:c r="A57" s="91" t="str">
        <x:f>IF(ISNUMBER(B57),40,"")</x:f>
      </x:c>
      <x:c r="B57" s="89"/>
      <x:c r="C57" s="70" t="str">
        <x:f>IF(AND(ISNUMBER(B56),ISNUMBER(B57)),ABS(B57-B56),"")</x:f>
      </x:c>
      <x:c r="D57" s="67" t="str">
        <x:f>IF(AND(ISNUMBER(B57),$H$12="計算可能"),IF(OR(B57&gt;$H$7,B57&lt;$H$8),"管理外",""),"")</x:f>
      </x:c>
      <x:c r="E57" s="67" t="str">
        <x:f>IF(AND(ISNUMBER(C57),$H$12="計算可能"),IF(OR(C57&gt;$L$7,C57&lt;$L$8),"管理外",""),"")</x:f>
      </x:c>
      <x:c r="F57" s="21"/>
      <x:c r="G57" s="52"/>
      <x:c r="H57" s="53"/>
      <x:c r="I57" s="53"/>
      <x:c r="J57" s="53"/>
      <x:c r="K57" s="53"/>
      <x:c r="L57" s="53"/>
      <x:c r="M57" s="53"/>
      <x:c r="N57" s="53"/>
      <x:c r="O57" s="53"/>
      <x:c r="P57" s="53"/>
      <x:c r="Q57" s="54"/>
    </x:row>
    <x:row r="58" ht="21" customHeight="1">
      <x:c r="A58" s="91" t="str">
        <x:f>IF(ISNUMBER(B58),41,"")</x:f>
      </x:c>
      <x:c r="B58" s="89"/>
      <x:c r="C58" s="70" t="str">
        <x:f>IF(AND(ISNUMBER(B57),ISNUMBER(B58)),ABS(B58-B57),"")</x:f>
      </x:c>
      <x:c r="D58" s="67" t="str">
        <x:f>IF(AND(ISNUMBER(B58),$H$12="計算可能"),IF(OR(B58&gt;$H$7,B58&lt;$H$8),"管理外",""),"")</x:f>
      </x:c>
      <x:c r="E58" s="67" t="str">
        <x:f>IF(AND(ISNUMBER(C58),$H$12="計算可能"),IF(OR(C58&gt;$L$7,C58&lt;$L$8),"管理外",""),"")</x:f>
      </x:c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</x:row>
    <x:row r="59" ht="21" customHeight="1">
      <x:c r="A59" s="91" t="str">
        <x:f>IF(ISNUMBER(B59),42,"")</x:f>
      </x:c>
      <x:c r="B59" s="89"/>
      <x:c r="C59" s="70" t="str">
        <x:f>IF(AND(ISNUMBER(B58),ISNUMBER(B59)),ABS(B59-B58),"")</x:f>
      </x:c>
      <x:c r="D59" s="67" t="str">
        <x:f>IF(AND(ISNUMBER(B59),$H$12="計算可能"),IF(OR(B59&gt;$H$7,B59&lt;$H$8),"管理外",""),"")</x:f>
      </x:c>
      <x:c r="E59" s="67" t="str">
        <x:f>IF(AND(ISNUMBER(C59),$H$12="計算可能"),IF(OR(C59&gt;$L$7,C59&lt;$L$8),"管理外",""),"")</x:f>
      </x:c>
      <x:c r="F59" s="21"/>
      <x:c r="G59" s="49" t="str">
        <x:v>計算：I限界＝平均±2.66×平均MR、MR限界＝0～3.267×平均MR。表示のみ丸め、途中値は保持しています。</x:v>
      </x:c>
      <x:c r="H59" s="50"/>
      <x:c r="I59" s="50"/>
      <x:c r="J59" s="50"/>
      <x:c r="K59" s="50"/>
      <x:c r="L59" s="50"/>
      <x:c r="M59" s="50"/>
      <x:c r="N59" s="50"/>
      <x:c r="O59" s="50"/>
      <x:c r="P59" s="50"/>
      <x:c r="Q59" s="51"/>
    </x:row>
    <x:row r="60" ht="21" customHeight="1">
      <x:c r="A60" s="91" t="str">
        <x:f>IF(ISNUMBER(B60),43,"")</x:f>
      </x:c>
      <x:c r="B60" s="89"/>
      <x:c r="C60" s="70" t="str">
        <x:f>IF(AND(ISNUMBER(B59),ISNUMBER(B60)),ABS(B60-B59),"")</x:f>
      </x:c>
      <x:c r="D60" s="67" t="str">
        <x:f>IF(AND(ISNUMBER(B60),$H$12="計算可能"),IF(OR(B60&gt;$H$7,B60&lt;$H$8),"管理外",""),"")</x:f>
      </x:c>
      <x:c r="E60" s="67" t="str">
        <x:f>IF(AND(ISNUMBER(C60),$H$12="計算可能"),IF(OR(C60&gt;$L$7,C60&lt;$L$8),"管理外",""),"")</x:f>
      </x:c>
      <x:c r="F60" s="21"/>
      <x:c r="G60" s="52"/>
      <x:c r="H60" s="53"/>
      <x:c r="I60" s="53"/>
      <x:c r="J60" s="53"/>
      <x:c r="K60" s="53"/>
      <x:c r="L60" s="53"/>
      <x:c r="M60" s="53"/>
      <x:c r="N60" s="53"/>
      <x:c r="O60" s="53"/>
      <x:c r="P60" s="53"/>
      <x:c r="Q60" s="54"/>
    </x:row>
    <x:row r="61" ht="21" customHeight="1">
      <x:c r="A61" s="91" t="str">
        <x:f>IF(ISNUMBER(B61),44,"")</x:f>
      </x:c>
      <x:c r="B61" s="89"/>
      <x:c r="C61" s="70" t="str">
        <x:f>IF(AND(ISNUMBER(B60),ISNUMBER(B61)),ABS(B61-B60),"")</x:f>
      </x:c>
      <x:c r="D61" s="67" t="str">
        <x:f>IF(AND(ISNUMBER(B61),$H$12="計算可能"),IF(OR(B61&gt;$H$7,B61&lt;$H$8),"管理外",""),"")</x:f>
      </x:c>
      <x:c r="E61" s="67" t="str">
        <x:f>IF(AND(ISNUMBER(C61),$H$12="計算可能"),IF(OR(C61&gt;$L$7,C61&lt;$L$8),"管理外",""),"")</x:f>
      </x:c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</x:row>
    <x:row r="62" ht="21" customHeight="1">
      <x:c r="A62" s="91" t="str">
        <x:f>IF(ISNUMBER(B62),45,"")</x:f>
      </x:c>
      <x:c r="B62" s="89"/>
      <x:c r="C62" s="70" t="str">
        <x:f>IF(AND(ISNUMBER(B61),ISNUMBER(B62)),ABS(B62-B61),"")</x:f>
      </x:c>
      <x:c r="D62" s="67" t="str">
        <x:f>IF(AND(ISNUMBER(B62),$H$12="計算可能"),IF(OR(B62&gt;$H$7,B62&lt;$H$8),"管理外",""),"")</x:f>
      </x:c>
      <x:c r="E62" s="67" t="str">
        <x:f>IF(AND(ISNUMBER(C62),$H$12="計算可能"),IF(OR(C62&gt;$L$7,C62&lt;$L$8),"管理外",""),"")</x:f>
      </x:c>
      <x:c r="F62" s="21"/>
      <x:c r="G62" s="49" t="str">
        <x:v>出典：NIST e-Handbook 6.3.2.2／6.3.2.1。元データは記事の教材例。MRサイズ2、VBA・マクロは使用していません。</x:v>
      </x:c>
      <x:c r="H62" s="50"/>
      <x:c r="I62" s="50"/>
      <x:c r="J62" s="50"/>
      <x:c r="K62" s="50"/>
      <x:c r="L62" s="50"/>
      <x:c r="M62" s="50"/>
      <x:c r="N62" s="50"/>
      <x:c r="O62" s="50"/>
      <x:c r="P62" s="50"/>
      <x:c r="Q62" s="51"/>
    </x:row>
    <x:row r="63" ht="21" customHeight="1">
      <x:c r="A63" s="91" t="str">
        <x:f>IF(ISNUMBER(B63),46,"")</x:f>
      </x:c>
      <x:c r="B63" s="89"/>
      <x:c r="C63" s="70" t="str">
        <x:f>IF(AND(ISNUMBER(B62),ISNUMBER(B63)),ABS(B63-B62),"")</x:f>
      </x:c>
      <x:c r="D63" s="67" t="str">
        <x:f>IF(AND(ISNUMBER(B63),$H$12="計算可能"),IF(OR(B63&gt;$H$7,B63&lt;$H$8),"管理外",""),"")</x:f>
      </x:c>
      <x:c r="E63" s="67" t="str">
        <x:f>IF(AND(ISNUMBER(C63),$H$12="計算可能"),IF(OR(C63&gt;$L$7,C63&lt;$L$8),"管理外",""),"")</x:f>
      </x:c>
      <x:c r="F63" s="21"/>
      <x:c r="G63" s="52"/>
      <x:c r="H63" s="53"/>
      <x:c r="I63" s="53"/>
      <x:c r="J63" s="53"/>
      <x:c r="K63" s="53"/>
      <x:c r="L63" s="53"/>
      <x:c r="M63" s="53"/>
      <x:c r="N63" s="53"/>
      <x:c r="O63" s="53"/>
      <x:c r="P63" s="53"/>
      <x:c r="Q63" s="54"/>
    </x:row>
    <x:row r="64" ht="21" customHeight="1">
      <x:c r="A64" s="91" t="str">
        <x:f>IF(ISNUMBER(B64),47,"")</x:f>
      </x:c>
      <x:c r="B64" s="89"/>
      <x:c r="C64" s="70" t="str">
        <x:f>IF(AND(ISNUMBER(B63),ISNUMBER(B64)),ABS(B64-B63),"")</x:f>
      </x:c>
      <x:c r="D64" s="67" t="str">
        <x:f>IF(AND(ISNUMBER(B64),$H$12="計算可能"),IF(OR(B64&gt;$H$7,B64&lt;$H$8),"管理外",""),"")</x:f>
      </x:c>
      <x:c r="E64" s="67" t="str">
        <x:f>IF(AND(ISNUMBER(C64),$H$12="計算可能"),IF(OR(C64&gt;$L$7,C64&lt;$L$8),"管理外",""),"")</x:f>
      </x:c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</x:row>
    <x:row r="65" ht="21" customHeight="1">
      <x:c r="A65" s="91" t="str">
        <x:f>IF(ISNUMBER(B65),48,"")</x:f>
      </x:c>
      <x:c r="B65" s="89"/>
      <x:c r="C65" s="70" t="str">
        <x:f>IF(AND(ISNUMBER(B64),ISNUMBER(B65)),ABS(B65-B64),"")</x:f>
      </x:c>
      <x:c r="D65" s="67" t="str">
        <x:f>IF(AND(ISNUMBER(B65),$H$12="計算可能"),IF(OR(B65&gt;$H$7,B65&lt;$H$8),"管理外",""),"")</x:f>
      </x:c>
      <x:c r="E65" s="67" t="str">
        <x:f>IF(AND(ISNUMBER(C65),$H$12="計算可能"),IF(OR(C65&gt;$L$7,C65&lt;$L$8),"管理外",""),"")</x:f>
      </x:c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</x:row>
    <x:row r="66" ht="21" customHeight="1">
      <x:c r="A66" s="91" t="str">
        <x:f>IF(ISNUMBER(B66),49,"")</x:f>
      </x:c>
      <x:c r="B66" s="89"/>
      <x:c r="C66" s="70" t="str">
        <x:f>IF(AND(ISNUMBER(B65),ISNUMBER(B66)),ABS(B66-B65),"")</x:f>
      </x:c>
      <x:c r="D66" s="67" t="str">
        <x:f>IF(AND(ISNUMBER(B66),$H$12="計算可能"),IF(OR(B66&gt;$H$7,B66&lt;$H$8),"管理外",""),"")</x:f>
      </x:c>
      <x:c r="E66" s="67" t="str">
        <x:f>IF(AND(ISNUMBER(C66),$H$12="計算可能"),IF(OR(C66&gt;$L$7,C66&lt;$L$8),"管理外",""),"")</x:f>
      </x:c>
      <x:c r="F66" s="21"/>
      <x:c r="G66" s="49" t="str">
        <x:v>以下はグラフ参照用の自動計算列です。#N/Aは欠測・未入力を描画しないための値です。編集不要。</x:v>
      </x:c>
      <x:c r="H66" s="50"/>
      <x:c r="I66" s="50"/>
      <x:c r="J66" s="50"/>
      <x:c r="K66" s="50"/>
      <x:c r="L66" s="50"/>
      <x:c r="M66" s="50"/>
      <x:c r="N66" s="50"/>
      <x:c r="O66" s="50"/>
      <x:c r="P66" s="50"/>
      <x:c r="Q66" s="51"/>
    </x:row>
    <x:row r="67" ht="21" customHeight="1">
      <x:c r="A67" s="91" t="str">
        <x:f>IF(ISNUMBER(B67),50,"")</x:f>
      </x:c>
      <x:c r="B67" s="89"/>
      <x:c r="C67" s="70" t="str">
        <x:f>IF(AND(ISNUMBER(B66),ISNUMBER(B67)),ABS(B67-B66),"")</x:f>
      </x:c>
      <x:c r="D67" s="67" t="str">
        <x:f>IF(AND(ISNUMBER(B67),$H$12="計算可能"),IF(OR(B67&gt;$H$7,B67&lt;$H$8),"管理外",""),"")</x:f>
      </x:c>
      <x:c r="E67" s="67" t="str">
        <x:f>IF(AND(ISNUMBER(C67),$H$12="計算可能"),IF(OR(C67&gt;$L$7,C67&lt;$L$8),"管理外",""),"")</x:f>
      </x:c>
      <x:c r="F67" s="21"/>
      <x:c r="G67" s="52"/>
      <x:c r="H67" s="53"/>
      <x:c r="I67" s="53"/>
      <x:c r="J67" s="53"/>
      <x:c r="K67" s="53"/>
      <x:c r="L67" s="53"/>
      <x:c r="M67" s="53"/>
      <x:c r="N67" s="53"/>
      <x:c r="O67" s="53"/>
      <x:c r="P67" s="53"/>
      <x:c r="Q67" s="54"/>
    </x:row>
    <x:row r="68" ht="21" customHeight="1">
      <x:c r="A68" s="91" t="str">
        <x:f>IF(ISNUMBER(B68),51,"")</x:f>
      </x:c>
      <x:c r="B68" s="89"/>
      <x:c r="C68" s="70" t="str">
        <x:f>IF(AND(ISNUMBER(B67),ISNUMBER(B68)),ABS(B68-B67),"")</x:f>
      </x:c>
      <x:c r="D68" s="67" t="str">
        <x:f>IF(AND(ISNUMBER(B68),$H$12="計算可能"),IF(OR(B68&gt;$H$7,B68&lt;$H$8),"管理外",""),"")</x:f>
      </x:c>
      <x:c r="E68" s="67" t="str">
        <x:f>IF(AND(ISNUMBER(C68),$H$12="計算可能"),IF(OR(C68&gt;$L$7,C68&lt;$L$8),"管理外",""),"")</x:f>
      </x:c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</x:row>
    <x:row r="69" ht="28" customHeight="1">
      <x:c r="A69" s="91" t="str">
        <x:f>IF(ISNUMBER(B69),52,"")</x:f>
      </x:c>
      <x:c r="B69" s="89"/>
      <x:c r="C69" s="70" t="str">
        <x:f>IF(AND(ISNUMBER(B68),ISNUMBER(B69)),ABS(B69-B68),"")</x:f>
      </x:c>
      <x:c r="D69" s="67" t="str">
        <x:f>IF(AND(ISNUMBER(B69),$H$12="計算可能"),IF(OR(B69&gt;$H$7,B69&lt;$H$8),"管理外",""),"")</x:f>
      </x:c>
      <x:c r="E69" s="67" t="str">
        <x:f>IF(AND(ISNUMBER(C69),$H$12="計算可能"),IF(OR(C69&gt;$L$7,C69&lt;$L$8),"管理外",""),"")</x:f>
      </x:c>
      <x:c r="F69" s="21"/>
      <x:c r="G69" s="94" t="str">
        <x:v>I No.</x:v>
      </x:c>
      <x:c r="H69" s="94" t="str">
        <x:v>測定値</x:v>
      </x:c>
      <x:c r="I69" s="94" t="str">
        <x:v>CL</x:v>
      </x:c>
      <x:c r="J69" s="94" t="str">
        <x:v>UCL</x:v>
      </x:c>
      <x:c r="K69" s="94" t="str">
        <x:v>LCL</x:v>
      </x:c>
      <x:c r="L69" s="94" t="str">
        <x:v>MR No.</x:v>
      </x:c>
      <x:c r="M69" s="94" t="str">
        <x:v>移動範囲</x:v>
      </x:c>
      <x:c r="N69" s="94" t="str">
        <x:v>CL</x:v>
      </x:c>
      <x:c r="O69" s="94" t="str">
        <x:v>UCL</x:v>
      </x:c>
      <x:c r="P69" s="94" t="str">
        <x:v>LCL</x:v>
      </x:c>
      <x:c r="Q69" s="21"/>
    </x:row>
    <x:row r="70" ht="21" customHeight="1">
      <x:c r="A70" s="91" t="str">
        <x:f>IF(ISNUMBER(B70),53,"")</x:f>
      </x:c>
      <x:c r="B70" s="89"/>
      <x:c r="C70" s="70" t="str">
        <x:f>IF(AND(ISNUMBER(B69),ISNUMBER(B70)),ABS(B70-B69),"")</x:f>
      </x:c>
      <x:c r="D70" s="67" t="str">
        <x:f>IF(AND(ISNUMBER(B70),$H$12="計算可能"),IF(OR(B70&gt;$H$7,B70&lt;$H$8),"管理外",""),"")</x:f>
      </x:c>
      <x:c r="E70" s="67" t="str">
        <x:f>IF(AND(ISNUMBER(C70),$H$12="計算可能"),IF(OR(C70&gt;$L$7,C70&lt;$L$8),"管理外",""),"")</x:f>
      </x:c>
      <x:c r="F70" s="21"/>
      <x:c r="G70" s="102" t="n">
        <x:f>IF(1&lt;=$H$10,1,NA())</x:f>
        <x:v>1</x:v>
      </x:c>
      <x:c r="H70" s="103" t="n">
        <x:f>IF(AND(ISNUMBER(B18),$H$12="計算可能"),B18,NA())</x:f>
        <x:v>100.1</x:v>
      </x:c>
      <x:c r="I70" s="103" t="n">
        <x:f>IF(AND(1&lt;=$H$10,$H$12="計算可能"),$H$6,NA())</x:f>
        <x:v>100.215</x:v>
      </x:c>
      <x:c r="J70" s="103" t="n">
        <x:f>IF(AND(1&lt;=$H$10,$H$12="計算可能"),$H$7,NA())</x:f>
        <x:v>101.881</x:v>
      </x:c>
      <x:c r="K70" s="103" t="n">
        <x:f>IF(AND(1&lt;=$H$10,$H$12="計算可能"),$H$8,NA())</x:f>
        <x:v>98.549</x:v>
      </x:c>
      <x:c r="L70" s="102" t="n">
        <x:f>IF(1&lt;=$H$10,1,NA())</x:f>
        <x:v>1</x:v>
      </x:c>
      <x:c r="M70" s="103" t="e">
        <x:f>IF(AND(ISNUMBER(C18),$H$12="計算可能"),C18,NA())</x:f>
        <x:v>#N/A</x:v>
      </x:c>
      <x:c r="N70" s="103" t="n">
        <x:f>IF(AND(1&lt;=$H$10,$H$12="計算可能"),$L$6,NA())</x:f>
        <x:v>0.6263157894736837</x:v>
      </x:c>
      <x:c r="O70" s="103" t="n">
        <x:f>IF(AND(1&lt;=$H$10,$H$12="計算可能"),$L$7,NA())</x:f>
        <x:v>2.0461736842105247</x:v>
      </x:c>
      <x:c r="P70" s="103" t="n">
        <x:f>IF(AND(1&lt;=$H$10,$H$12="計算可能"),$L$8,NA())</x:f>
        <x:v>0</x:v>
      </x:c>
      <x:c r="Q70" s="21"/>
    </x:row>
    <x:row r="71" ht="21" customHeight="1">
      <x:c r="A71" s="91" t="str">
        <x:f>IF(ISNUMBER(B71),54,"")</x:f>
      </x:c>
      <x:c r="B71" s="89"/>
      <x:c r="C71" s="70" t="str">
        <x:f>IF(AND(ISNUMBER(B70),ISNUMBER(B71)),ABS(B71-B70),"")</x:f>
      </x:c>
      <x:c r="D71" s="67" t="str">
        <x:f>IF(AND(ISNUMBER(B71),$H$12="計算可能"),IF(OR(B71&gt;$H$7,B71&lt;$H$8),"管理外",""),"")</x:f>
      </x:c>
      <x:c r="E71" s="67" t="str">
        <x:f>IF(AND(ISNUMBER(C71),$H$12="計算可能"),IF(OR(C71&gt;$L$7,C71&lt;$L$8),"管理外",""),"")</x:f>
      </x:c>
      <x:c r="F71" s="21"/>
      <x:c r="G71" s="102" t="n">
        <x:f>IF(2&lt;=$H$10,2,NA())</x:f>
        <x:v>2</x:v>
      </x:c>
      <x:c r="H71" s="103" t="n">
        <x:f>IF(AND(ISNUMBER(B19),$H$12="計算可能"),B19,NA())</x:f>
        <x:v>99.8</x:v>
      </x:c>
      <x:c r="I71" s="103" t="n">
        <x:f>IF(AND(2&lt;=$H$10,$H$12="計算可能"),$H$6,NA())</x:f>
        <x:v>100.215</x:v>
      </x:c>
      <x:c r="J71" s="103" t="n">
        <x:f>IF(AND(2&lt;=$H$10,$H$12="計算可能"),$H$7,NA())</x:f>
        <x:v>101.881</x:v>
      </x:c>
      <x:c r="K71" s="103" t="n">
        <x:f>IF(AND(2&lt;=$H$10,$H$12="計算可能"),$H$8,NA())</x:f>
        <x:v>98.549</x:v>
      </x:c>
      <x:c r="L71" s="102" t="n">
        <x:f>IF(2&lt;=$H$10,2,NA())</x:f>
        <x:v>2</x:v>
      </x:c>
      <x:c r="M71" s="103" t="n">
        <x:f>IF(AND(ISNUMBER(C19),$H$12="計算可能"),C19,NA())</x:f>
        <x:v>0.29999999999999716</x:v>
      </x:c>
      <x:c r="N71" s="103" t="n">
        <x:f>IF(AND(2&lt;=$H$10,$H$12="計算可能"),$L$6,NA())</x:f>
        <x:v>0.6263157894736837</x:v>
      </x:c>
      <x:c r="O71" s="103" t="n">
        <x:f>IF(AND(2&lt;=$H$10,$H$12="計算可能"),$L$7,NA())</x:f>
        <x:v>2.0461736842105247</x:v>
      </x:c>
      <x:c r="P71" s="103" t="n">
        <x:f>IF(AND(2&lt;=$H$10,$H$12="計算可能"),$L$8,NA())</x:f>
        <x:v>0</x:v>
      </x:c>
      <x:c r="Q71" s="21"/>
    </x:row>
    <x:row r="72" ht="21" customHeight="1">
      <x:c r="A72" s="91" t="str">
        <x:f>IF(ISNUMBER(B72),55,"")</x:f>
      </x:c>
      <x:c r="B72" s="89"/>
      <x:c r="C72" s="70" t="str">
        <x:f>IF(AND(ISNUMBER(B71),ISNUMBER(B72)),ABS(B72-B71),"")</x:f>
      </x:c>
      <x:c r="D72" s="67" t="str">
        <x:f>IF(AND(ISNUMBER(B72),$H$12="計算可能"),IF(OR(B72&gt;$H$7,B72&lt;$H$8),"管理外",""),"")</x:f>
      </x:c>
      <x:c r="E72" s="67" t="str">
        <x:f>IF(AND(ISNUMBER(C72),$H$12="計算可能"),IF(OR(C72&gt;$L$7,C72&lt;$L$8),"管理外",""),"")</x:f>
      </x:c>
      <x:c r="F72" s="21"/>
      <x:c r="G72" s="102" t="n">
        <x:f>IF(3&lt;=$H$10,3,NA())</x:f>
        <x:v>3</x:v>
      </x:c>
      <x:c r="H72" s="103" t="n">
        <x:f>IF(AND(ISNUMBER(B20),$H$12="計算可能"),B20,NA())</x:f>
        <x:v>100.4</x:v>
      </x:c>
      <x:c r="I72" s="103" t="n">
        <x:f>IF(AND(3&lt;=$H$10,$H$12="計算可能"),$H$6,NA())</x:f>
        <x:v>100.215</x:v>
      </x:c>
      <x:c r="J72" s="103" t="n">
        <x:f>IF(AND(3&lt;=$H$10,$H$12="計算可能"),$H$7,NA())</x:f>
        <x:v>101.881</x:v>
      </x:c>
      <x:c r="K72" s="103" t="n">
        <x:f>IF(AND(3&lt;=$H$10,$H$12="計算可能"),$H$8,NA())</x:f>
        <x:v>98.549</x:v>
      </x:c>
      <x:c r="L72" s="102" t="n">
        <x:f>IF(3&lt;=$H$10,3,NA())</x:f>
        <x:v>3</x:v>
      </x:c>
      <x:c r="M72" s="103" t="n">
        <x:f>IF(AND(ISNUMBER(C20),$H$12="計算可能"),C20,NA())</x:f>
        <x:v>0.6000000000000085</x:v>
      </x:c>
      <x:c r="N72" s="103" t="n">
        <x:f>IF(AND(3&lt;=$H$10,$H$12="計算可能"),$L$6,NA())</x:f>
        <x:v>0.6263157894736837</x:v>
      </x:c>
      <x:c r="O72" s="103" t="n">
        <x:f>IF(AND(3&lt;=$H$10,$H$12="計算可能"),$L$7,NA())</x:f>
        <x:v>2.0461736842105247</x:v>
      </x:c>
      <x:c r="P72" s="103" t="n">
        <x:f>IF(AND(3&lt;=$H$10,$H$12="計算可能"),$L$8,NA())</x:f>
        <x:v>0</x:v>
      </x:c>
      <x:c r="Q72" s="21"/>
    </x:row>
    <x:row r="73" ht="21" customHeight="1">
      <x:c r="A73" s="91" t="str">
        <x:f>IF(ISNUMBER(B73),56,"")</x:f>
      </x:c>
      <x:c r="B73" s="89"/>
      <x:c r="C73" s="70" t="str">
        <x:f>IF(AND(ISNUMBER(B72),ISNUMBER(B73)),ABS(B73-B72),"")</x:f>
      </x:c>
      <x:c r="D73" s="67" t="str">
        <x:f>IF(AND(ISNUMBER(B73),$H$12="計算可能"),IF(OR(B73&gt;$H$7,B73&lt;$H$8),"管理外",""),"")</x:f>
      </x:c>
      <x:c r="E73" s="67" t="str">
        <x:f>IF(AND(ISNUMBER(C73),$H$12="計算可能"),IF(OR(C73&gt;$L$7,C73&lt;$L$8),"管理外",""),"")</x:f>
      </x:c>
      <x:c r="F73" s="21"/>
      <x:c r="G73" s="102" t="n">
        <x:f>IF(4&lt;=$H$10,4,NA())</x:f>
        <x:v>4</x:v>
      </x:c>
      <x:c r="H73" s="103" t="n">
        <x:f>IF(AND(ISNUMBER(B21),$H$12="計算可能"),B21,NA())</x:f>
        <x:v>100</x:v>
      </x:c>
      <x:c r="I73" s="103" t="n">
        <x:f>IF(AND(4&lt;=$H$10,$H$12="計算可能"),$H$6,NA())</x:f>
        <x:v>100.215</x:v>
      </x:c>
      <x:c r="J73" s="103" t="n">
        <x:f>IF(AND(4&lt;=$H$10,$H$12="計算可能"),$H$7,NA())</x:f>
        <x:v>101.881</x:v>
      </x:c>
      <x:c r="K73" s="103" t="n">
        <x:f>IF(AND(4&lt;=$H$10,$H$12="計算可能"),$H$8,NA())</x:f>
        <x:v>98.549</x:v>
      </x:c>
      <x:c r="L73" s="102" t="n">
        <x:f>IF(4&lt;=$H$10,4,NA())</x:f>
        <x:v>4</x:v>
      </x:c>
      <x:c r="M73" s="103" t="n">
        <x:f>IF(AND(ISNUMBER(C21),$H$12="計算可能"),C21,NA())</x:f>
        <x:v>0.4000000000000057</x:v>
      </x:c>
      <x:c r="N73" s="103" t="n">
        <x:f>IF(AND(4&lt;=$H$10,$H$12="計算可能"),$L$6,NA())</x:f>
        <x:v>0.6263157894736837</x:v>
      </x:c>
      <x:c r="O73" s="103" t="n">
        <x:f>IF(AND(4&lt;=$H$10,$H$12="計算可能"),$L$7,NA())</x:f>
        <x:v>2.0461736842105247</x:v>
      </x:c>
      <x:c r="P73" s="103" t="n">
        <x:f>IF(AND(4&lt;=$H$10,$H$12="計算可能"),$L$8,NA())</x:f>
        <x:v>0</x:v>
      </x:c>
      <x:c r="Q73" s="21"/>
    </x:row>
    <x:row r="74" ht="21" customHeight="1">
      <x:c r="A74" s="91" t="str">
        <x:f>IF(ISNUMBER(B74),57,"")</x:f>
      </x:c>
      <x:c r="B74" s="89"/>
      <x:c r="C74" s="70" t="str">
        <x:f>IF(AND(ISNUMBER(B73),ISNUMBER(B74)),ABS(B74-B73),"")</x:f>
      </x:c>
      <x:c r="D74" s="67" t="str">
        <x:f>IF(AND(ISNUMBER(B74),$H$12="計算可能"),IF(OR(B74&gt;$H$7,B74&lt;$H$8),"管理外",""),"")</x:f>
      </x:c>
      <x:c r="E74" s="67" t="str">
        <x:f>IF(AND(ISNUMBER(C74),$H$12="計算可能"),IF(OR(C74&gt;$L$7,C74&lt;$L$8),"管理外",""),"")</x:f>
      </x:c>
      <x:c r="F74" s="21"/>
      <x:c r="G74" s="102" t="n">
        <x:f>IF(5&lt;=$H$10,5,NA())</x:f>
        <x:v>5</x:v>
      </x:c>
      <x:c r="H74" s="103" t="n">
        <x:f>IF(AND(ISNUMBER(B22),$H$12="計算可能"),B22,NA())</x:f>
        <x:v>99.7</x:v>
      </x:c>
      <x:c r="I74" s="103" t="n">
        <x:f>IF(AND(5&lt;=$H$10,$H$12="計算可能"),$H$6,NA())</x:f>
        <x:v>100.215</x:v>
      </x:c>
      <x:c r="J74" s="103" t="n">
        <x:f>IF(AND(5&lt;=$H$10,$H$12="計算可能"),$H$7,NA())</x:f>
        <x:v>101.881</x:v>
      </x:c>
      <x:c r="K74" s="103" t="n">
        <x:f>IF(AND(5&lt;=$H$10,$H$12="計算可能"),$H$8,NA())</x:f>
        <x:v>98.549</x:v>
      </x:c>
      <x:c r="L74" s="102" t="n">
        <x:f>IF(5&lt;=$H$10,5,NA())</x:f>
        <x:v>5</x:v>
      </x:c>
      <x:c r="M74" s="103" t="n">
        <x:f>IF(AND(ISNUMBER(C22),$H$12="計算可能"),C22,NA())</x:f>
        <x:v>0.29999999999999716</x:v>
      </x:c>
      <x:c r="N74" s="103" t="n">
        <x:f>IF(AND(5&lt;=$H$10,$H$12="計算可能"),$L$6,NA())</x:f>
        <x:v>0.6263157894736837</x:v>
      </x:c>
      <x:c r="O74" s="103" t="n">
        <x:f>IF(AND(5&lt;=$H$10,$H$12="計算可能"),$L$7,NA())</x:f>
        <x:v>2.0461736842105247</x:v>
      </x:c>
      <x:c r="P74" s="103" t="n">
        <x:f>IF(AND(5&lt;=$H$10,$H$12="計算可能"),$L$8,NA())</x:f>
        <x:v>0</x:v>
      </x:c>
      <x:c r="Q74" s="21"/>
    </x:row>
    <x:row r="75" ht="21" customHeight="1">
      <x:c r="A75" s="91" t="str">
        <x:f>IF(ISNUMBER(B75),58,"")</x:f>
      </x:c>
      <x:c r="B75" s="89"/>
      <x:c r="C75" s="70" t="str">
        <x:f>IF(AND(ISNUMBER(B74),ISNUMBER(B75)),ABS(B75-B74),"")</x:f>
      </x:c>
      <x:c r="D75" s="67" t="str">
        <x:f>IF(AND(ISNUMBER(B75),$H$12="計算可能"),IF(OR(B75&gt;$H$7,B75&lt;$H$8),"管理外",""),"")</x:f>
      </x:c>
      <x:c r="E75" s="67" t="str">
        <x:f>IF(AND(ISNUMBER(C75),$H$12="計算可能"),IF(OR(C75&gt;$L$7,C75&lt;$L$8),"管理外",""),"")</x:f>
      </x:c>
      <x:c r="F75" s="21"/>
      <x:c r="G75" s="102" t="n">
        <x:f>IF(6&lt;=$H$10,6,NA())</x:f>
        <x:v>6</x:v>
      </x:c>
      <x:c r="H75" s="103" t="n">
        <x:f>IF(AND(ISNUMBER(B23),$H$12="計算可能"),B23,NA())</x:f>
        <x:v>100.2</x:v>
      </x:c>
      <x:c r="I75" s="103" t="n">
        <x:f>IF(AND(6&lt;=$H$10,$H$12="計算可能"),$H$6,NA())</x:f>
        <x:v>100.215</x:v>
      </x:c>
      <x:c r="J75" s="103" t="n">
        <x:f>IF(AND(6&lt;=$H$10,$H$12="計算可能"),$H$7,NA())</x:f>
        <x:v>101.881</x:v>
      </x:c>
      <x:c r="K75" s="103" t="n">
        <x:f>IF(AND(6&lt;=$H$10,$H$12="計算可能"),$H$8,NA())</x:f>
        <x:v>98.549</x:v>
      </x:c>
      <x:c r="L75" s="102" t="n">
        <x:f>IF(6&lt;=$H$10,6,NA())</x:f>
        <x:v>6</x:v>
      </x:c>
      <x:c r="M75" s="103" t="n">
        <x:f>IF(AND(ISNUMBER(C23),$H$12="計算可能"),C23,NA())</x:f>
        <x:v>0.5</x:v>
      </x:c>
      <x:c r="N75" s="103" t="n">
        <x:f>IF(AND(6&lt;=$H$10,$H$12="計算可能"),$L$6,NA())</x:f>
        <x:v>0.6263157894736837</x:v>
      </x:c>
      <x:c r="O75" s="103" t="n">
        <x:f>IF(AND(6&lt;=$H$10,$H$12="計算可能"),$L$7,NA())</x:f>
        <x:v>2.0461736842105247</x:v>
      </x:c>
      <x:c r="P75" s="103" t="n">
        <x:f>IF(AND(6&lt;=$H$10,$H$12="計算可能"),$L$8,NA())</x:f>
        <x:v>0</x:v>
      </x:c>
      <x:c r="Q75" s="21"/>
    </x:row>
    <x:row r="76" ht="21" customHeight="1">
      <x:c r="A76" s="91" t="str">
        <x:f>IF(ISNUMBER(B76),59,"")</x:f>
      </x:c>
      <x:c r="B76" s="89"/>
      <x:c r="C76" s="70" t="str">
        <x:f>IF(AND(ISNUMBER(B75),ISNUMBER(B76)),ABS(B76-B75),"")</x:f>
      </x:c>
      <x:c r="D76" s="67" t="str">
        <x:f>IF(AND(ISNUMBER(B76),$H$12="計算可能"),IF(OR(B76&gt;$H$7,B76&lt;$H$8),"管理外",""),"")</x:f>
      </x:c>
      <x:c r="E76" s="67" t="str">
        <x:f>IF(AND(ISNUMBER(C76),$H$12="計算可能"),IF(OR(C76&gt;$L$7,C76&lt;$L$8),"管理外",""),"")</x:f>
      </x:c>
      <x:c r="F76" s="21"/>
      <x:c r="G76" s="102" t="n">
        <x:f>IF(7&lt;=$H$10,7,NA())</x:f>
        <x:v>7</x:v>
      </x:c>
      <x:c r="H76" s="103" t="n">
        <x:f>IF(AND(ISNUMBER(B24),$H$12="計算可能"),B24,NA())</x:f>
        <x:v>100.5</x:v>
      </x:c>
      <x:c r="I76" s="103" t="n">
        <x:f>IF(AND(7&lt;=$H$10,$H$12="計算可能"),$H$6,NA())</x:f>
        <x:v>100.215</x:v>
      </x:c>
      <x:c r="J76" s="103" t="n">
        <x:f>IF(AND(7&lt;=$H$10,$H$12="計算可能"),$H$7,NA())</x:f>
        <x:v>101.881</x:v>
      </x:c>
      <x:c r="K76" s="103" t="n">
        <x:f>IF(AND(7&lt;=$H$10,$H$12="計算可能"),$H$8,NA())</x:f>
        <x:v>98.549</x:v>
      </x:c>
      <x:c r="L76" s="102" t="n">
        <x:f>IF(7&lt;=$H$10,7,NA())</x:f>
        <x:v>7</x:v>
      </x:c>
      <x:c r="M76" s="103" t="n">
        <x:f>IF(AND(ISNUMBER(C24),$H$12="計算可能"),C24,NA())</x:f>
        <x:v>0.29999999999999716</x:v>
      </x:c>
      <x:c r="N76" s="103" t="n">
        <x:f>IF(AND(7&lt;=$H$10,$H$12="計算可能"),$L$6,NA())</x:f>
        <x:v>0.6263157894736837</x:v>
      </x:c>
      <x:c r="O76" s="103" t="n">
        <x:f>IF(AND(7&lt;=$H$10,$H$12="計算可能"),$L$7,NA())</x:f>
        <x:v>2.0461736842105247</x:v>
      </x:c>
      <x:c r="P76" s="103" t="n">
        <x:f>IF(AND(7&lt;=$H$10,$H$12="計算可能"),$L$8,NA())</x:f>
        <x:v>0</x:v>
      </x:c>
      <x:c r="Q76" s="21"/>
    </x:row>
    <x:row r="77" ht="21" customHeight="1">
      <x:c r="A77" s="91" t="str">
        <x:f>IF(ISNUMBER(B77),60,"")</x:f>
      </x:c>
      <x:c r="B77" s="89"/>
      <x:c r="C77" s="70" t="str">
        <x:f>IF(AND(ISNUMBER(B76),ISNUMBER(B77)),ABS(B77-B76),"")</x:f>
      </x:c>
      <x:c r="D77" s="67" t="str">
        <x:f>IF(AND(ISNUMBER(B77),$H$12="計算可能"),IF(OR(B77&gt;$H$7,B77&lt;$H$8),"管理外",""),"")</x:f>
      </x:c>
      <x:c r="E77" s="67" t="str">
        <x:f>IF(AND(ISNUMBER(C77),$H$12="計算可能"),IF(OR(C77&gt;$L$7,C77&lt;$L$8),"管理外",""),"")</x:f>
      </x:c>
      <x:c r="F77" s="21"/>
      <x:c r="G77" s="102" t="n">
        <x:f>IF(8&lt;=$H$10,8,NA())</x:f>
        <x:v>8</x:v>
      </x:c>
      <x:c r="H77" s="103" t="n">
        <x:f>IF(AND(ISNUMBER(B25),$H$12="計算可能"),B25,NA())</x:f>
        <x:v>99.9</x:v>
      </x:c>
      <x:c r="I77" s="103" t="n">
        <x:f>IF(AND(8&lt;=$H$10,$H$12="計算可能"),$H$6,NA())</x:f>
        <x:v>100.215</x:v>
      </x:c>
      <x:c r="J77" s="103" t="n">
        <x:f>IF(AND(8&lt;=$H$10,$H$12="計算可能"),$H$7,NA())</x:f>
        <x:v>101.881</x:v>
      </x:c>
      <x:c r="K77" s="103" t="n">
        <x:f>IF(AND(8&lt;=$H$10,$H$12="計算可能"),$H$8,NA())</x:f>
        <x:v>98.549</x:v>
      </x:c>
      <x:c r="L77" s="102" t="n">
        <x:f>IF(8&lt;=$H$10,8,NA())</x:f>
        <x:v>8</x:v>
      </x:c>
      <x:c r="M77" s="103" t="n">
        <x:f>IF(AND(ISNUMBER(C25),$H$12="計算可能"),C25,NA())</x:f>
        <x:v>0.5999999999999943</x:v>
      </x:c>
      <x:c r="N77" s="103" t="n">
        <x:f>IF(AND(8&lt;=$H$10,$H$12="計算可能"),$L$6,NA())</x:f>
        <x:v>0.6263157894736837</x:v>
      </x:c>
      <x:c r="O77" s="103" t="n">
        <x:f>IF(AND(8&lt;=$H$10,$H$12="計算可能"),$L$7,NA())</x:f>
        <x:v>2.0461736842105247</x:v>
      </x:c>
      <x:c r="P77" s="103" t="n">
        <x:f>IF(AND(8&lt;=$H$10,$H$12="計算可能"),$L$8,NA())</x:f>
        <x:v>0</x:v>
      </x:c>
      <x:c r="Q77" s="21"/>
    </x:row>
    <x:row r="78" ht="21" customHeight="1">
      <x:c r="A78" s="91" t="str">
        <x:f>IF(ISNUMBER(B78),61,"")</x:f>
      </x:c>
      <x:c r="B78" s="89"/>
      <x:c r="C78" s="70" t="str">
        <x:f>IF(AND(ISNUMBER(B77),ISNUMBER(B78)),ABS(B78-B77),"")</x:f>
      </x:c>
      <x:c r="D78" s="67" t="str">
        <x:f>IF(AND(ISNUMBER(B78),$H$12="計算可能"),IF(OR(B78&gt;$H$7,B78&lt;$H$8),"管理外",""),"")</x:f>
      </x:c>
      <x:c r="E78" s="67" t="str">
        <x:f>IF(AND(ISNUMBER(C78),$H$12="計算可能"),IF(OR(C78&gt;$L$7,C78&lt;$L$8),"管理外",""),"")</x:f>
      </x:c>
      <x:c r="F78" s="21"/>
      <x:c r="G78" s="102" t="n">
        <x:f>IF(9&lt;=$H$10,9,NA())</x:f>
        <x:v>9</x:v>
      </x:c>
      <x:c r="H78" s="103" t="n">
        <x:f>IF(AND(ISNUMBER(B26),$H$12="計算可能"),B26,NA())</x:f>
        <x:v>100.1</x:v>
      </x:c>
      <x:c r="I78" s="103" t="n">
        <x:f>IF(AND(9&lt;=$H$10,$H$12="計算可能"),$H$6,NA())</x:f>
        <x:v>100.215</x:v>
      </x:c>
      <x:c r="J78" s="103" t="n">
        <x:f>IF(AND(9&lt;=$H$10,$H$12="計算可能"),$H$7,NA())</x:f>
        <x:v>101.881</x:v>
      </x:c>
      <x:c r="K78" s="103" t="n">
        <x:f>IF(AND(9&lt;=$H$10,$H$12="計算可能"),$H$8,NA())</x:f>
        <x:v>98.549</x:v>
      </x:c>
      <x:c r="L78" s="102" t="n">
        <x:f>IF(9&lt;=$H$10,9,NA())</x:f>
        <x:v>9</x:v>
      </x:c>
      <x:c r="M78" s="103" t="n">
        <x:f>IF(AND(ISNUMBER(C26),$H$12="計算可能"),C26,NA())</x:f>
        <x:v>0.19999999999998863</x:v>
      </x:c>
      <x:c r="N78" s="103" t="n">
        <x:f>IF(AND(9&lt;=$H$10,$H$12="計算可能"),$L$6,NA())</x:f>
        <x:v>0.6263157894736837</x:v>
      </x:c>
      <x:c r="O78" s="103" t="n">
        <x:f>IF(AND(9&lt;=$H$10,$H$12="計算可能"),$L$7,NA())</x:f>
        <x:v>2.0461736842105247</x:v>
      </x:c>
      <x:c r="P78" s="103" t="n">
        <x:f>IF(AND(9&lt;=$H$10,$H$12="計算可能"),$L$8,NA())</x:f>
        <x:v>0</x:v>
      </x:c>
      <x:c r="Q78" s="21"/>
    </x:row>
    <x:row r="79" ht="21" customHeight="1">
      <x:c r="A79" s="91" t="str">
        <x:f>IF(ISNUMBER(B79),62,"")</x:f>
      </x:c>
      <x:c r="B79" s="89"/>
      <x:c r="C79" s="70" t="str">
        <x:f>IF(AND(ISNUMBER(B78),ISNUMBER(B79)),ABS(B79-B78),"")</x:f>
      </x:c>
      <x:c r="D79" s="67" t="str">
        <x:f>IF(AND(ISNUMBER(B79),$H$12="計算可能"),IF(OR(B79&gt;$H$7,B79&lt;$H$8),"管理外",""),"")</x:f>
      </x:c>
      <x:c r="E79" s="67" t="str">
        <x:f>IF(AND(ISNUMBER(C79),$H$12="計算可能"),IF(OR(C79&gt;$L$7,C79&lt;$L$8),"管理外",""),"")</x:f>
      </x:c>
      <x:c r="F79" s="21"/>
      <x:c r="G79" s="102" t="n">
        <x:f>IF(10&lt;=$H$10,10,NA())</x:f>
        <x:v>10</x:v>
      </x:c>
      <x:c r="H79" s="103" t="n">
        <x:f>IF(AND(ISNUMBER(B27),$H$12="計算可能"),B27,NA())</x:f>
        <x:v>100.3</x:v>
      </x:c>
      <x:c r="I79" s="103" t="n">
        <x:f>IF(AND(10&lt;=$H$10,$H$12="計算可能"),$H$6,NA())</x:f>
        <x:v>100.215</x:v>
      </x:c>
      <x:c r="J79" s="103" t="n">
        <x:f>IF(AND(10&lt;=$H$10,$H$12="計算可能"),$H$7,NA())</x:f>
        <x:v>101.881</x:v>
      </x:c>
      <x:c r="K79" s="103" t="n">
        <x:f>IF(AND(10&lt;=$H$10,$H$12="計算可能"),$H$8,NA())</x:f>
        <x:v>98.549</x:v>
      </x:c>
      <x:c r="L79" s="102" t="n">
        <x:f>IF(10&lt;=$H$10,10,NA())</x:f>
        <x:v>10</x:v>
      </x:c>
      <x:c r="M79" s="103" t="n">
        <x:f>IF(AND(ISNUMBER(C27),$H$12="計算可能"),C27,NA())</x:f>
        <x:v>0.20000000000000284</x:v>
      </x:c>
      <x:c r="N79" s="103" t="n">
        <x:f>IF(AND(10&lt;=$H$10,$H$12="計算可能"),$L$6,NA())</x:f>
        <x:v>0.6263157894736837</x:v>
      </x:c>
      <x:c r="O79" s="103" t="n">
        <x:f>IF(AND(10&lt;=$H$10,$H$12="計算可能"),$L$7,NA())</x:f>
        <x:v>2.0461736842105247</x:v>
      </x:c>
      <x:c r="P79" s="103" t="n">
        <x:f>IF(AND(10&lt;=$H$10,$H$12="計算可能"),$L$8,NA())</x:f>
        <x:v>0</x:v>
      </x:c>
      <x:c r="Q79" s="21"/>
    </x:row>
    <x:row r="80" ht="21" customHeight="1">
      <x:c r="A80" s="91" t="str">
        <x:f>IF(ISNUMBER(B80),63,"")</x:f>
      </x:c>
      <x:c r="B80" s="89"/>
      <x:c r="C80" s="70" t="str">
        <x:f>IF(AND(ISNUMBER(B79),ISNUMBER(B80)),ABS(B80-B79),"")</x:f>
      </x:c>
      <x:c r="D80" s="67" t="str">
        <x:f>IF(AND(ISNUMBER(B80),$H$12="計算可能"),IF(OR(B80&gt;$H$7,B80&lt;$H$8),"管理外",""),"")</x:f>
      </x:c>
      <x:c r="E80" s="67" t="str">
        <x:f>IF(AND(ISNUMBER(C80),$H$12="計算可能"),IF(OR(C80&gt;$L$7,C80&lt;$L$8),"管理外",""),"")</x:f>
      </x:c>
      <x:c r="F80" s="21"/>
      <x:c r="G80" s="102" t="n">
        <x:f>IF(11&lt;=$H$10,11,NA())</x:f>
        <x:v>11</x:v>
      </x:c>
      <x:c r="H80" s="103" t="n">
        <x:f>IF(AND(ISNUMBER(B28),$H$12="計算可能"),B28,NA())</x:f>
        <x:v>99.8</x:v>
      </x:c>
      <x:c r="I80" s="103" t="n">
        <x:f>IF(AND(11&lt;=$H$10,$H$12="計算可能"),$H$6,NA())</x:f>
        <x:v>100.215</x:v>
      </x:c>
      <x:c r="J80" s="103" t="n">
        <x:f>IF(AND(11&lt;=$H$10,$H$12="計算可能"),$H$7,NA())</x:f>
        <x:v>101.881</x:v>
      </x:c>
      <x:c r="K80" s="103" t="n">
        <x:f>IF(AND(11&lt;=$H$10,$H$12="計算可能"),$H$8,NA())</x:f>
        <x:v>98.549</x:v>
      </x:c>
      <x:c r="L80" s="102" t="n">
        <x:f>IF(11&lt;=$H$10,11,NA())</x:f>
        <x:v>11</x:v>
      </x:c>
      <x:c r="M80" s="103" t="n">
        <x:f>IF(AND(ISNUMBER(C28),$H$12="計算可能"),C28,NA())</x:f>
        <x:v>0.5</x:v>
      </x:c>
      <x:c r="N80" s="103" t="n">
        <x:f>IF(AND(11&lt;=$H$10,$H$12="計算可能"),$L$6,NA())</x:f>
        <x:v>0.6263157894736837</x:v>
      </x:c>
      <x:c r="O80" s="103" t="n">
        <x:f>IF(AND(11&lt;=$H$10,$H$12="計算可能"),$L$7,NA())</x:f>
        <x:v>2.0461736842105247</x:v>
      </x:c>
      <x:c r="P80" s="103" t="n">
        <x:f>IF(AND(11&lt;=$H$10,$H$12="計算可能"),$L$8,NA())</x:f>
        <x:v>0</x:v>
      </x:c>
      <x:c r="Q80" s="21"/>
    </x:row>
    <x:row r="81" ht="21" customHeight="1">
      <x:c r="A81" s="91" t="str">
        <x:f>IF(ISNUMBER(B81),64,"")</x:f>
      </x:c>
      <x:c r="B81" s="89"/>
      <x:c r="C81" s="70" t="str">
        <x:f>IF(AND(ISNUMBER(B80),ISNUMBER(B81)),ABS(B81-B80),"")</x:f>
      </x:c>
      <x:c r="D81" s="67" t="str">
        <x:f>IF(AND(ISNUMBER(B81),$H$12="計算可能"),IF(OR(B81&gt;$H$7,B81&lt;$H$8),"管理外",""),"")</x:f>
      </x:c>
      <x:c r="E81" s="67" t="str">
        <x:f>IF(AND(ISNUMBER(C81),$H$12="計算可能"),IF(OR(C81&gt;$L$7,C81&lt;$L$8),"管理外",""),"")</x:f>
      </x:c>
      <x:c r="F81" s="21"/>
      <x:c r="G81" s="102" t="n">
        <x:f>IF(12&lt;=$H$10,12,NA())</x:f>
        <x:v>12</x:v>
      </x:c>
      <x:c r="H81" s="103" t="n">
        <x:f>IF(AND(ISNUMBER(B29),$H$12="計算可能"),B29,NA())</x:f>
        <x:v>100</x:v>
      </x:c>
      <x:c r="I81" s="103" t="n">
        <x:f>IF(AND(12&lt;=$H$10,$H$12="計算可能"),$H$6,NA())</x:f>
        <x:v>100.215</x:v>
      </x:c>
      <x:c r="J81" s="103" t="n">
        <x:f>IF(AND(12&lt;=$H$10,$H$12="計算可能"),$H$7,NA())</x:f>
        <x:v>101.881</x:v>
      </x:c>
      <x:c r="K81" s="103" t="n">
        <x:f>IF(AND(12&lt;=$H$10,$H$12="計算可能"),$H$8,NA())</x:f>
        <x:v>98.549</x:v>
      </x:c>
      <x:c r="L81" s="102" t="n">
        <x:f>IF(12&lt;=$H$10,12,NA())</x:f>
        <x:v>12</x:v>
      </x:c>
      <x:c r="M81" s="103" t="n">
        <x:f>IF(AND(ISNUMBER(C29),$H$12="計算可能"),C29,NA())</x:f>
        <x:v>0.20000000000000284</x:v>
      </x:c>
      <x:c r="N81" s="103" t="n">
        <x:f>IF(AND(12&lt;=$H$10,$H$12="計算可能"),$L$6,NA())</x:f>
        <x:v>0.6263157894736837</x:v>
      </x:c>
      <x:c r="O81" s="103" t="n">
        <x:f>IF(AND(12&lt;=$H$10,$H$12="計算可能"),$L$7,NA())</x:f>
        <x:v>2.0461736842105247</x:v>
      </x:c>
      <x:c r="P81" s="103" t="n">
        <x:f>IF(AND(12&lt;=$H$10,$H$12="計算可能"),$L$8,NA())</x:f>
        <x:v>0</x:v>
      </x:c>
      <x:c r="Q81" s="21"/>
    </x:row>
    <x:row r="82" ht="21" customHeight="1">
      <x:c r="A82" s="91" t="str">
        <x:f>IF(ISNUMBER(B82),65,"")</x:f>
      </x:c>
      <x:c r="B82" s="89"/>
      <x:c r="C82" s="70" t="str">
        <x:f>IF(AND(ISNUMBER(B81),ISNUMBER(B82)),ABS(B82-B81),"")</x:f>
      </x:c>
      <x:c r="D82" s="67" t="str">
        <x:f>IF(AND(ISNUMBER(B82),$H$12="計算可能"),IF(OR(B82&gt;$H$7,B82&lt;$H$8),"管理外",""),"")</x:f>
      </x:c>
      <x:c r="E82" s="67" t="str">
        <x:f>IF(AND(ISNUMBER(C82),$H$12="計算可能"),IF(OR(C82&gt;$L$7,C82&lt;$L$8),"管理外",""),"")</x:f>
      </x:c>
      <x:c r="F82" s="21"/>
      <x:c r="G82" s="102" t="n">
        <x:f>IF(13&lt;=$H$10,13,NA())</x:f>
        <x:v>13</x:v>
      </x:c>
      <x:c r="H82" s="103" t="n">
        <x:f>IF(AND(ISNUMBER(B30),$H$12="計算可能"),B30,NA())</x:f>
        <x:v>100.2</x:v>
      </x:c>
      <x:c r="I82" s="103" t="n">
        <x:f>IF(AND(13&lt;=$H$10,$H$12="計算可能"),$H$6,NA())</x:f>
        <x:v>100.215</x:v>
      </x:c>
      <x:c r="J82" s="103" t="n">
        <x:f>IF(AND(13&lt;=$H$10,$H$12="計算可能"),$H$7,NA())</x:f>
        <x:v>101.881</x:v>
      </x:c>
      <x:c r="K82" s="103" t="n">
        <x:f>IF(AND(13&lt;=$H$10,$H$12="計算可能"),$H$8,NA())</x:f>
        <x:v>98.549</x:v>
      </x:c>
      <x:c r="L82" s="102" t="n">
        <x:f>IF(13&lt;=$H$10,13,NA())</x:f>
        <x:v>13</x:v>
      </x:c>
      <x:c r="M82" s="103" t="n">
        <x:f>IF(AND(ISNUMBER(C30),$H$12="計算可能"),C30,NA())</x:f>
        <x:v>0.20000000000000284</x:v>
      </x:c>
      <x:c r="N82" s="103" t="n">
        <x:f>IF(AND(13&lt;=$H$10,$H$12="計算可能"),$L$6,NA())</x:f>
        <x:v>0.6263157894736837</x:v>
      </x:c>
      <x:c r="O82" s="103" t="n">
        <x:f>IF(AND(13&lt;=$H$10,$H$12="計算可能"),$L$7,NA())</x:f>
        <x:v>2.0461736842105247</x:v>
      </x:c>
      <x:c r="P82" s="103" t="n">
        <x:f>IF(AND(13&lt;=$H$10,$H$12="計算可能"),$L$8,NA())</x:f>
        <x:v>0</x:v>
      </x:c>
      <x:c r="Q82" s="21"/>
    </x:row>
    <x:row r="83" ht="21" customHeight="1">
      <x:c r="A83" s="91" t="str">
        <x:f>IF(ISNUMBER(B83),66,"")</x:f>
      </x:c>
      <x:c r="B83" s="89"/>
      <x:c r="C83" s="70" t="str">
        <x:f>IF(AND(ISNUMBER(B82),ISNUMBER(B83)),ABS(B83-B82),"")</x:f>
      </x:c>
      <x:c r="D83" s="67" t="str">
        <x:f>IF(AND(ISNUMBER(B83),$H$12="計算可能"),IF(OR(B83&gt;$H$7,B83&lt;$H$8),"管理外",""),"")</x:f>
      </x:c>
      <x:c r="E83" s="67" t="str">
        <x:f>IF(AND(ISNUMBER(C83),$H$12="計算可能"),IF(OR(C83&gt;$L$7,C83&lt;$L$8),"管理外",""),"")</x:f>
      </x:c>
      <x:c r="F83" s="21"/>
      <x:c r="G83" s="102" t="n">
        <x:f>IF(14&lt;=$H$10,14,NA())</x:f>
        <x:v>14</x:v>
      </x:c>
      <x:c r="H83" s="103" t="n">
        <x:f>IF(AND(ISNUMBER(B31),$H$12="計算可能"),B31,NA())</x:f>
        <x:v>99.9</x:v>
      </x:c>
      <x:c r="I83" s="103" t="n">
        <x:f>IF(AND(14&lt;=$H$10,$H$12="計算可能"),$H$6,NA())</x:f>
        <x:v>100.215</x:v>
      </x:c>
      <x:c r="J83" s="103" t="n">
        <x:f>IF(AND(14&lt;=$H$10,$H$12="計算可能"),$H$7,NA())</x:f>
        <x:v>101.881</x:v>
      </x:c>
      <x:c r="K83" s="103" t="n">
        <x:f>IF(AND(14&lt;=$H$10,$H$12="計算可能"),$H$8,NA())</x:f>
        <x:v>98.549</x:v>
      </x:c>
      <x:c r="L83" s="102" t="n">
        <x:f>IF(14&lt;=$H$10,14,NA())</x:f>
        <x:v>14</x:v>
      </x:c>
      <x:c r="M83" s="103" t="n">
        <x:f>IF(AND(ISNUMBER(C31),$H$12="計算可能"),C31,NA())</x:f>
        <x:v>0.29999999999999716</x:v>
      </x:c>
      <x:c r="N83" s="103" t="n">
        <x:f>IF(AND(14&lt;=$H$10,$H$12="計算可能"),$L$6,NA())</x:f>
        <x:v>0.6263157894736837</x:v>
      </x:c>
      <x:c r="O83" s="103" t="n">
        <x:f>IF(AND(14&lt;=$H$10,$H$12="計算可能"),$L$7,NA())</x:f>
        <x:v>2.0461736842105247</x:v>
      </x:c>
      <x:c r="P83" s="103" t="n">
        <x:f>IF(AND(14&lt;=$H$10,$H$12="計算可能"),$L$8,NA())</x:f>
        <x:v>0</x:v>
      </x:c>
      <x:c r="Q83" s="21"/>
    </x:row>
    <x:row r="84" ht="21" customHeight="1">
      <x:c r="A84" s="91" t="str">
        <x:f>IF(ISNUMBER(B84),67,"")</x:f>
      </x:c>
      <x:c r="B84" s="89"/>
      <x:c r="C84" s="70" t="str">
        <x:f>IF(AND(ISNUMBER(B83),ISNUMBER(B84)),ABS(B84-B83),"")</x:f>
      </x:c>
      <x:c r="D84" s="67" t="str">
        <x:f>IF(AND(ISNUMBER(B84),$H$12="計算可能"),IF(OR(B84&gt;$H$7,B84&lt;$H$8),"管理外",""),"")</x:f>
      </x:c>
      <x:c r="E84" s="67" t="str">
        <x:f>IF(AND(ISNUMBER(C84),$H$12="計算可能"),IF(OR(C84&gt;$L$7,C84&lt;$L$8),"管理外",""),"")</x:f>
      </x:c>
      <x:c r="F84" s="21"/>
      <x:c r="G84" s="102" t="n">
        <x:f>IF(15&lt;=$H$10,15,NA())</x:f>
        <x:v>15</x:v>
      </x:c>
      <x:c r="H84" s="103" t="n">
        <x:f>IF(AND(ISNUMBER(B32),$H$12="計算可能"),B32,NA())</x:f>
        <x:v>100.4</x:v>
      </x:c>
      <x:c r="I84" s="103" t="n">
        <x:f>IF(AND(15&lt;=$H$10,$H$12="計算可能"),$H$6,NA())</x:f>
        <x:v>100.215</x:v>
      </x:c>
      <x:c r="J84" s="103" t="n">
        <x:f>IF(AND(15&lt;=$H$10,$H$12="計算可能"),$H$7,NA())</x:f>
        <x:v>101.881</x:v>
      </x:c>
      <x:c r="K84" s="103" t="n">
        <x:f>IF(AND(15&lt;=$H$10,$H$12="計算可能"),$H$8,NA())</x:f>
        <x:v>98.549</x:v>
      </x:c>
      <x:c r="L84" s="102" t="n">
        <x:f>IF(15&lt;=$H$10,15,NA())</x:f>
        <x:v>15</x:v>
      </x:c>
      <x:c r="M84" s="103" t="n">
        <x:f>IF(AND(ISNUMBER(C32),$H$12="計算可能"),C32,NA())</x:f>
        <x:v>0.5</x:v>
      </x:c>
      <x:c r="N84" s="103" t="n">
        <x:f>IF(AND(15&lt;=$H$10,$H$12="計算可能"),$L$6,NA())</x:f>
        <x:v>0.6263157894736837</x:v>
      </x:c>
      <x:c r="O84" s="103" t="n">
        <x:f>IF(AND(15&lt;=$H$10,$H$12="計算可能"),$L$7,NA())</x:f>
        <x:v>2.0461736842105247</x:v>
      </x:c>
      <x:c r="P84" s="103" t="n">
        <x:f>IF(AND(15&lt;=$H$10,$H$12="計算可能"),$L$8,NA())</x:f>
        <x:v>0</x:v>
      </x:c>
      <x:c r="Q84" s="21"/>
    </x:row>
    <x:row r="85" ht="21" customHeight="1">
      <x:c r="A85" s="91" t="str">
        <x:f>IF(ISNUMBER(B85),68,"")</x:f>
      </x:c>
      <x:c r="B85" s="89"/>
      <x:c r="C85" s="70" t="str">
        <x:f>IF(AND(ISNUMBER(B84),ISNUMBER(B85)),ABS(B85-B84),"")</x:f>
      </x:c>
      <x:c r="D85" s="67" t="str">
        <x:f>IF(AND(ISNUMBER(B85),$H$12="計算可能"),IF(OR(B85&gt;$H$7,B85&lt;$H$8),"管理外",""),"")</x:f>
      </x:c>
      <x:c r="E85" s="67" t="str">
        <x:f>IF(AND(ISNUMBER(C85),$H$12="計算可能"),IF(OR(C85&gt;$L$7,C85&lt;$L$8),"管理外",""),"")</x:f>
      </x:c>
      <x:c r="F85" s="21"/>
      <x:c r="G85" s="102" t="n">
        <x:f>IF(16&lt;=$H$10,16,NA())</x:f>
        <x:v>16</x:v>
      </x:c>
      <x:c r="H85" s="103" t="n">
        <x:f>IF(AND(ISNUMBER(B33),$H$12="計算可能"),B33,NA())</x:f>
        <x:v>100.1</x:v>
      </x:c>
      <x:c r="I85" s="103" t="n">
        <x:f>IF(AND(16&lt;=$H$10,$H$12="計算可能"),$H$6,NA())</x:f>
        <x:v>100.215</x:v>
      </x:c>
      <x:c r="J85" s="103" t="n">
        <x:f>IF(AND(16&lt;=$H$10,$H$12="計算可能"),$H$7,NA())</x:f>
        <x:v>101.881</x:v>
      </x:c>
      <x:c r="K85" s="103" t="n">
        <x:f>IF(AND(16&lt;=$H$10,$H$12="計算可能"),$H$8,NA())</x:f>
        <x:v>98.549</x:v>
      </x:c>
      <x:c r="L85" s="102" t="n">
        <x:f>IF(16&lt;=$H$10,16,NA())</x:f>
        <x:v>16</x:v>
      </x:c>
      <x:c r="M85" s="103" t="n">
        <x:f>IF(AND(ISNUMBER(C33),$H$12="計算可能"),C33,NA())</x:f>
        <x:v>0.30000000000001137</x:v>
      </x:c>
      <x:c r="N85" s="103" t="n">
        <x:f>IF(AND(16&lt;=$H$10,$H$12="計算可能"),$L$6,NA())</x:f>
        <x:v>0.6263157894736837</x:v>
      </x:c>
      <x:c r="O85" s="103" t="n">
        <x:f>IF(AND(16&lt;=$H$10,$H$12="計算可能"),$L$7,NA())</x:f>
        <x:v>2.0461736842105247</x:v>
      </x:c>
      <x:c r="P85" s="103" t="n">
        <x:f>IF(AND(16&lt;=$H$10,$H$12="計算可能"),$L$8,NA())</x:f>
        <x:v>0</x:v>
      </x:c>
      <x:c r="Q85" s="21"/>
    </x:row>
    <x:row r="86" ht="21" customHeight="1">
      <x:c r="A86" s="91" t="str">
        <x:f>IF(ISNUMBER(B86),69,"")</x:f>
      </x:c>
      <x:c r="B86" s="89"/>
      <x:c r="C86" s="70" t="str">
        <x:f>IF(AND(ISNUMBER(B85),ISNUMBER(B86)),ABS(B86-B85),"")</x:f>
      </x:c>
      <x:c r="D86" s="67" t="str">
        <x:f>IF(AND(ISNUMBER(B86),$H$12="計算可能"),IF(OR(B86&gt;$H$7,B86&lt;$H$8),"管理外",""),"")</x:f>
      </x:c>
      <x:c r="E86" s="67" t="str">
        <x:f>IF(AND(ISNUMBER(C86),$H$12="計算可能"),IF(OR(C86&gt;$L$7,C86&lt;$L$8),"管理外",""),"")</x:f>
      </x:c>
      <x:c r="F86" s="21"/>
      <x:c r="G86" s="102" t="n">
        <x:f>IF(17&lt;=$H$10,17,NA())</x:f>
        <x:v>17</x:v>
      </x:c>
      <x:c r="H86" s="103" t="n">
        <x:f>IF(AND(ISNUMBER(B34),$H$12="計算可能"),B34,NA())</x:f>
        <x:v>99.7</x:v>
      </x:c>
      <x:c r="I86" s="103" t="n">
        <x:f>IF(AND(17&lt;=$H$10,$H$12="計算可能"),$H$6,NA())</x:f>
        <x:v>100.215</x:v>
      </x:c>
      <x:c r="J86" s="103" t="n">
        <x:f>IF(AND(17&lt;=$H$10,$H$12="計算可能"),$H$7,NA())</x:f>
        <x:v>101.881</x:v>
      </x:c>
      <x:c r="K86" s="103" t="n">
        <x:f>IF(AND(17&lt;=$H$10,$H$12="計算可能"),$H$8,NA())</x:f>
        <x:v>98.549</x:v>
      </x:c>
      <x:c r="L86" s="102" t="n">
        <x:f>IF(17&lt;=$H$10,17,NA())</x:f>
        <x:v>17</x:v>
      </x:c>
      <x:c r="M86" s="103" t="n">
        <x:f>IF(AND(ISNUMBER(C34),$H$12="計算可能"),C34,NA())</x:f>
        <x:v>0.3999999999999915</x:v>
      </x:c>
      <x:c r="N86" s="103" t="n">
        <x:f>IF(AND(17&lt;=$H$10,$H$12="計算可能"),$L$6,NA())</x:f>
        <x:v>0.6263157894736837</x:v>
      </x:c>
      <x:c r="O86" s="103" t="n">
        <x:f>IF(AND(17&lt;=$H$10,$H$12="計算可能"),$L$7,NA())</x:f>
        <x:v>2.0461736842105247</x:v>
      </x:c>
      <x:c r="P86" s="103" t="n">
        <x:f>IF(AND(17&lt;=$H$10,$H$12="計算可能"),$L$8,NA())</x:f>
        <x:v>0</x:v>
      </x:c>
      <x:c r="Q86" s="21"/>
    </x:row>
    <x:row r="87" ht="21" customHeight="1">
      <x:c r="A87" s="91" t="str">
        <x:f>IF(ISNUMBER(B87),70,"")</x:f>
      </x:c>
      <x:c r="B87" s="89"/>
      <x:c r="C87" s="70" t="str">
        <x:f>IF(AND(ISNUMBER(B86),ISNUMBER(B87)),ABS(B87-B86),"")</x:f>
      </x:c>
      <x:c r="D87" s="67" t="str">
        <x:f>IF(AND(ISNUMBER(B87),$H$12="計算可能"),IF(OR(B87&gt;$H$7,B87&lt;$H$8),"管理外",""),"")</x:f>
      </x:c>
      <x:c r="E87" s="67" t="str">
        <x:f>IF(AND(ISNUMBER(C87),$H$12="計算可能"),IF(OR(C87&gt;$L$7,C87&lt;$L$8),"管理外",""),"")</x:f>
      </x:c>
      <x:c r="F87" s="21"/>
      <x:c r="G87" s="102" t="n">
        <x:f>IF(18&lt;=$H$10,18,NA())</x:f>
        <x:v>18</x:v>
      </x:c>
      <x:c r="H87" s="103" t="n">
        <x:f>IF(AND(ISNUMBER(B35),$H$12="計算可能"),B35,NA())</x:f>
        <x:v>100</x:v>
      </x:c>
      <x:c r="I87" s="103" t="n">
        <x:f>IF(AND(18&lt;=$H$10,$H$12="計算可能"),$H$6,NA())</x:f>
        <x:v>100.215</x:v>
      </x:c>
      <x:c r="J87" s="103" t="n">
        <x:f>IF(AND(18&lt;=$H$10,$H$12="計算可能"),$H$7,NA())</x:f>
        <x:v>101.881</x:v>
      </x:c>
      <x:c r="K87" s="103" t="n">
        <x:f>IF(AND(18&lt;=$H$10,$H$12="計算可能"),$H$8,NA())</x:f>
        <x:v>98.549</x:v>
      </x:c>
      <x:c r="L87" s="102" t="n">
        <x:f>IF(18&lt;=$H$10,18,NA())</x:f>
        <x:v>18</x:v>
      </x:c>
      <x:c r="M87" s="103" t="n">
        <x:f>IF(AND(ISNUMBER(C35),$H$12="計算可能"),C35,NA())</x:f>
        <x:v>0.29999999999999716</x:v>
      </x:c>
      <x:c r="N87" s="103" t="n">
        <x:f>IF(AND(18&lt;=$H$10,$H$12="計算可能"),$L$6,NA())</x:f>
        <x:v>0.6263157894736837</x:v>
      </x:c>
      <x:c r="O87" s="103" t="n">
        <x:f>IF(AND(18&lt;=$H$10,$H$12="計算可能"),$L$7,NA())</x:f>
        <x:v>2.0461736842105247</x:v>
      </x:c>
      <x:c r="P87" s="103" t="n">
        <x:f>IF(AND(18&lt;=$H$10,$H$12="計算可能"),$L$8,NA())</x:f>
        <x:v>0</x:v>
      </x:c>
      <x:c r="Q87" s="21"/>
    </x:row>
    <x:row r="88" ht="21" customHeight="1">
      <x:c r="A88" s="91" t="str">
        <x:f>IF(ISNUMBER(B88),71,"")</x:f>
      </x:c>
      <x:c r="B88" s="89"/>
      <x:c r="C88" s="70" t="str">
        <x:f>IF(AND(ISNUMBER(B87),ISNUMBER(B88)),ABS(B88-B87),"")</x:f>
      </x:c>
      <x:c r="D88" s="67" t="str">
        <x:f>IF(AND(ISNUMBER(B88),$H$12="計算可能"),IF(OR(B88&gt;$H$7,B88&lt;$H$8),"管理外",""),"")</x:f>
      </x:c>
      <x:c r="E88" s="67" t="str">
        <x:f>IF(AND(ISNUMBER(C88),$H$12="計算可能"),IF(OR(C88&gt;$L$7,C88&lt;$L$8),"管理外",""),"")</x:f>
      </x:c>
      <x:c r="F88" s="21"/>
      <x:c r="G88" s="102" t="n">
        <x:f>IF(19&lt;=$H$10,19,NA())</x:f>
        <x:v>19</x:v>
      </x:c>
      <x:c r="H88" s="103" t="n">
        <x:f>IF(AND(ISNUMBER(B36),$H$12="計算可能"),B36,NA())</x:f>
        <x:v>103</x:v>
      </x:c>
      <x:c r="I88" s="103" t="n">
        <x:f>IF(AND(19&lt;=$H$10,$H$12="計算可能"),$H$6,NA())</x:f>
        <x:v>100.215</x:v>
      </x:c>
      <x:c r="J88" s="103" t="n">
        <x:f>IF(AND(19&lt;=$H$10,$H$12="計算可能"),$H$7,NA())</x:f>
        <x:v>101.881</x:v>
      </x:c>
      <x:c r="K88" s="103" t="n">
        <x:f>IF(AND(19&lt;=$H$10,$H$12="計算可能"),$H$8,NA())</x:f>
        <x:v>98.549</x:v>
      </x:c>
      <x:c r="L88" s="102" t="n">
        <x:f>IF(19&lt;=$H$10,19,NA())</x:f>
        <x:v>19</x:v>
      </x:c>
      <x:c r="M88" s="103" t="n">
        <x:f>IF(AND(ISNUMBER(C36),$H$12="計算可能"),C36,NA())</x:f>
        <x:v>3</x:v>
      </x:c>
      <x:c r="N88" s="103" t="n">
        <x:f>IF(AND(19&lt;=$H$10,$H$12="計算可能"),$L$6,NA())</x:f>
        <x:v>0.6263157894736837</x:v>
      </x:c>
      <x:c r="O88" s="103" t="n">
        <x:f>IF(AND(19&lt;=$H$10,$H$12="計算可能"),$L$7,NA())</x:f>
        <x:v>2.0461736842105247</x:v>
      </x:c>
      <x:c r="P88" s="103" t="n">
        <x:f>IF(AND(19&lt;=$H$10,$H$12="計算可能"),$L$8,NA())</x:f>
        <x:v>0</x:v>
      </x:c>
      <x:c r="Q88" s="21"/>
    </x:row>
    <x:row r="89" ht="21" customHeight="1">
      <x:c r="A89" s="91" t="str">
        <x:f>IF(ISNUMBER(B89),72,"")</x:f>
      </x:c>
      <x:c r="B89" s="89"/>
      <x:c r="C89" s="70" t="str">
        <x:f>IF(AND(ISNUMBER(B88),ISNUMBER(B89)),ABS(B89-B88),"")</x:f>
      </x:c>
      <x:c r="D89" s="67" t="str">
        <x:f>IF(AND(ISNUMBER(B89),$H$12="計算可能"),IF(OR(B89&gt;$H$7,B89&lt;$H$8),"管理外",""),"")</x:f>
      </x:c>
      <x:c r="E89" s="67" t="str">
        <x:f>IF(AND(ISNUMBER(C89),$H$12="計算可能"),IF(OR(C89&gt;$L$7,C89&lt;$L$8),"管理外",""),"")</x:f>
      </x:c>
      <x:c r="F89" s="21"/>
      <x:c r="G89" s="102" t="n">
        <x:f>IF(20&lt;=$H$10,20,NA())</x:f>
        <x:v>20</x:v>
      </x:c>
      <x:c r="H89" s="103" t="n">
        <x:f>IF(AND(ISNUMBER(B37),$H$12="計算可能"),B37,NA())</x:f>
        <x:v>100.2</x:v>
      </x:c>
      <x:c r="I89" s="103" t="n">
        <x:f>IF(AND(20&lt;=$H$10,$H$12="計算可能"),$H$6,NA())</x:f>
        <x:v>100.215</x:v>
      </x:c>
      <x:c r="J89" s="103" t="n">
        <x:f>IF(AND(20&lt;=$H$10,$H$12="計算可能"),$H$7,NA())</x:f>
        <x:v>101.881</x:v>
      </x:c>
      <x:c r="K89" s="103" t="n">
        <x:f>IF(AND(20&lt;=$H$10,$H$12="計算可能"),$H$8,NA())</x:f>
        <x:v>98.549</x:v>
      </x:c>
      <x:c r="L89" s="102" t="n">
        <x:f>IF(20&lt;=$H$10,20,NA())</x:f>
        <x:v>20</x:v>
      </x:c>
      <x:c r="M89" s="103" t="n">
        <x:f>IF(AND(ISNUMBER(C37),$H$12="計算可能"),C37,NA())</x:f>
        <x:v>2.799999999999997</x:v>
      </x:c>
      <x:c r="N89" s="103" t="n">
        <x:f>IF(AND(20&lt;=$H$10,$H$12="計算可能"),$L$6,NA())</x:f>
        <x:v>0.6263157894736837</x:v>
      </x:c>
      <x:c r="O89" s="103" t="n">
        <x:f>IF(AND(20&lt;=$H$10,$H$12="計算可能"),$L$7,NA())</x:f>
        <x:v>2.0461736842105247</x:v>
      </x:c>
      <x:c r="P89" s="103" t="n">
        <x:f>IF(AND(20&lt;=$H$10,$H$12="計算可能"),$L$8,NA())</x:f>
        <x:v>0</x:v>
      </x:c>
      <x:c r="Q89" s="21"/>
    </x:row>
    <x:row r="90" ht="21" customHeight="1">
      <x:c r="A90" s="91" t="str">
        <x:f>IF(ISNUMBER(B90),73,"")</x:f>
      </x:c>
      <x:c r="B90" s="89"/>
      <x:c r="C90" s="70" t="str">
        <x:f>IF(AND(ISNUMBER(B89),ISNUMBER(B90)),ABS(B90-B89),"")</x:f>
      </x:c>
      <x:c r="D90" s="67" t="str">
        <x:f>IF(AND(ISNUMBER(B90),$H$12="計算可能"),IF(OR(B90&gt;$H$7,B90&lt;$H$8),"管理外",""),"")</x:f>
      </x:c>
      <x:c r="E90" s="67" t="str">
        <x:f>IF(AND(ISNUMBER(C90),$H$12="計算可能"),IF(OR(C90&gt;$L$7,C90&lt;$L$8),"管理外",""),"")</x:f>
      </x:c>
      <x:c r="F90" s="21"/>
      <x:c r="G90" s="102" t="e">
        <x:f>IF(21&lt;=$H$10,21,NA())</x:f>
        <x:v>#N/A</x:v>
      </x:c>
      <x:c r="H90" s="103" t="e">
        <x:f>IF(AND(ISNUMBER(B38),$H$12="計算可能"),B38,NA())</x:f>
        <x:v>#N/A</x:v>
      </x:c>
      <x:c r="I90" s="103" t="e">
        <x:f>IF(AND(21&lt;=$H$10,$H$12="計算可能"),$H$6,NA())</x:f>
        <x:v>#N/A</x:v>
      </x:c>
      <x:c r="J90" s="103" t="e">
        <x:f>IF(AND(21&lt;=$H$10,$H$12="計算可能"),$H$7,NA())</x:f>
        <x:v>#N/A</x:v>
      </x:c>
      <x:c r="K90" s="103" t="e">
        <x:f>IF(AND(21&lt;=$H$10,$H$12="計算可能"),$H$8,NA())</x:f>
        <x:v>#N/A</x:v>
      </x:c>
      <x:c r="L90" s="102" t="e">
        <x:f>IF(21&lt;=$H$10,21,NA())</x:f>
        <x:v>#N/A</x:v>
      </x:c>
      <x:c r="M90" s="103" t="e">
        <x:f>IF(AND(ISNUMBER(C38),$H$12="計算可能"),C38,NA())</x:f>
        <x:v>#N/A</x:v>
      </x:c>
      <x:c r="N90" s="103" t="e">
        <x:f>IF(AND(21&lt;=$H$10,$H$12="計算可能"),$L$6,NA())</x:f>
        <x:v>#N/A</x:v>
      </x:c>
      <x:c r="O90" s="103" t="e">
        <x:f>IF(AND(21&lt;=$H$10,$H$12="計算可能"),$L$7,NA())</x:f>
        <x:v>#N/A</x:v>
      </x:c>
      <x:c r="P90" s="103" t="e">
        <x:f>IF(AND(21&lt;=$H$10,$H$12="計算可能"),$L$8,NA())</x:f>
        <x:v>#N/A</x:v>
      </x:c>
      <x:c r="Q90" s="21"/>
    </x:row>
    <x:row r="91" ht="21" customHeight="1">
      <x:c r="A91" s="91" t="str">
        <x:f>IF(ISNUMBER(B91),74,"")</x:f>
      </x:c>
      <x:c r="B91" s="89"/>
      <x:c r="C91" s="70" t="str">
        <x:f>IF(AND(ISNUMBER(B90),ISNUMBER(B91)),ABS(B91-B90),"")</x:f>
      </x:c>
      <x:c r="D91" s="67" t="str">
        <x:f>IF(AND(ISNUMBER(B91),$H$12="計算可能"),IF(OR(B91&gt;$H$7,B91&lt;$H$8),"管理外",""),"")</x:f>
      </x:c>
      <x:c r="E91" s="67" t="str">
        <x:f>IF(AND(ISNUMBER(C91),$H$12="計算可能"),IF(OR(C91&gt;$L$7,C91&lt;$L$8),"管理外",""),"")</x:f>
      </x:c>
      <x:c r="F91" s="21"/>
      <x:c r="G91" s="102" t="e">
        <x:f>IF(22&lt;=$H$10,22,NA())</x:f>
        <x:v>#N/A</x:v>
      </x:c>
      <x:c r="H91" s="103" t="e">
        <x:f>IF(AND(ISNUMBER(B39),$H$12="計算可能"),B39,NA())</x:f>
        <x:v>#N/A</x:v>
      </x:c>
      <x:c r="I91" s="103" t="e">
        <x:f>IF(AND(22&lt;=$H$10,$H$12="計算可能"),$H$6,NA())</x:f>
        <x:v>#N/A</x:v>
      </x:c>
      <x:c r="J91" s="103" t="e">
        <x:f>IF(AND(22&lt;=$H$10,$H$12="計算可能"),$H$7,NA())</x:f>
        <x:v>#N/A</x:v>
      </x:c>
      <x:c r="K91" s="103" t="e">
        <x:f>IF(AND(22&lt;=$H$10,$H$12="計算可能"),$H$8,NA())</x:f>
        <x:v>#N/A</x:v>
      </x:c>
      <x:c r="L91" s="102" t="e">
        <x:f>IF(22&lt;=$H$10,22,NA())</x:f>
        <x:v>#N/A</x:v>
      </x:c>
      <x:c r="M91" s="103" t="e">
        <x:f>IF(AND(ISNUMBER(C39),$H$12="計算可能"),C39,NA())</x:f>
        <x:v>#N/A</x:v>
      </x:c>
      <x:c r="N91" s="103" t="e">
        <x:f>IF(AND(22&lt;=$H$10,$H$12="計算可能"),$L$6,NA())</x:f>
        <x:v>#N/A</x:v>
      </x:c>
      <x:c r="O91" s="103" t="e">
        <x:f>IF(AND(22&lt;=$H$10,$H$12="計算可能"),$L$7,NA())</x:f>
        <x:v>#N/A</x:v>
      </x:c>
      <x:c r="P91" s="103" t="e">
        <x:f>IF(AND(22&lt;=$H$10,$H$12="計算可能"),$L$8,NA())</x:f>
        <x:v>#N/A</x:v>
      </x:c>
      <x:c r="Q91" s="21"/>
    </x:row>
    <x:row r="92" ht="21" customHeight="1">
      <x:c r="A92" s="91" t="str">
        <x:f>IF(ISNUMBER(B92),75,"")</x:f>
      </x:c>
      <x:c r="B92" s="89"/>
      <x:c r="C92" s="70" t="str">
        <x:f>IF(AND(ISNUMBER(B91),ISNUMBER(B92)),ABS(B92-B91),"")</x:f>
      </x:c>
      <x:c r="D92" s="67" t="str">
        <x:f>IF(AND(ISNUMBER(B92),$H$12="計算可能"),IF(OR(B92&gt;$H$7,B92&lt;$H$8),"管理外",""),"")</x:f>
      </x:c>
      <x:c r="E92" s="67" t="str">
        <x:f>IF(AND(ISNUMBER(C92),$H$12="計算可能"),IF(OR(C92&gt;$L$7,C92&lt;$L$8),"管理外",""),"")</x:f>
      </x:c>
      <x:c r="F92" s="21"/>
      <x:c r="G92" s="102" t="e">
        <x:f>IF(23&lt;=$H$10,23,NA())</x:f>
        <x:v>#N/A</x:v>
      </x:c>
      <x:c r="H92" s="103" t="e">
        <x:f>IF(AND(ISNUMBER(B40),$H$12="計算可能"),B40,NA())</x:f>
        <x:v>#N/A</x:v>
      </x:c>
      <x:c r="I92" s="103" t="e">
        <x:f>IF(AND(23&lt;=$H$10,$H$12="計算可能"),$H$6,NA())</x:f>
        <x:v>#N/A</x:v>
      </x:c>
      <x:c r="J92" s="103" t="e">
        <x:f>IF(AND(23&lt;=$H$10,$H$12="計算可能"),$H$7,NA())</x:f>
        <x:v>#N/A</x:v>
      </x:c>
      <x:c r="K92" s="103" t="e">
        <x:f>IF(AND(23&lt;=$H$10,$H$12="計算可能"),$H$8,NA())</x:f>
        <x:v>#N/A</x:v>
      </x:c>
      <x:c r="L92" s="102" t="e">
        <x:f>IF(23&lt;=$H$10,23,NA())</x:f>
        <x:v>#N/A</x:v>
      </x:c>
      <x:c r="M92" s="103" t="e">
        <x:f>IF(AND(ISNUMBER(C40),$H$12="計算可能"),C40,NA())</x:f>
        <x:v>#N/A</x:v>
      </x:c>
      <x:c r="N92" s="103" t="e">
        <x:f>IF(AND(23&lt;=$H$10,$H$12="計算可能"),$L$6,NA())</x:f>
        <x:v>#N/A</x:v>
      </x:c>
      <x:c r="O92" s="103" t="e">
        <x:f>IF(AND(23&lt;=$H$10,$H$12="計算可能"),$L$7,NA())</x:f>
        <x:v>#N/A</x:v>
      </x:c>
      <x:c r="P92" s="103" t="e">
        <x:f>IF(AND(23&lt;=$H$10,$H$12="計算可能"),$L$8,NA())</x:f>
        <x:v>#N/A</x:v>
      </x:c>
      <x:c r="Q92" s="21"/>
    </x:row>
    <x:row r="93" ht="21" customHeight="1">
      <x:c r="A93" s="91" t="str">
        <x:f>IF(ISNUMBER(B93),76,"")</x:f>
      </x:c>
      <x:c r="B93" s="89"/>
      <x:c r="C93" s="70" t="str">
        <x:f>IF(AND(ISNUMBER(B92),ISNUMBER(B93)),ABS(B93-B92),"")</x:f>
      </x:c>
      <x:c r="D93" s="67" t="str">
        <x:f>IF(AND(ISNUMBER(B93),$H$12="計算可能"),IF(OR(B93&gt;$H$7,B93&lt;$H$8),"管理外",""),"")</x:f>
      </x:c>
      <x:c r="E93" s="67" t="str">
        <x:f>IF(AND(ISNUMBER(C93),$H$12="計算可能"),IF(OR(C93&gt;$L$7,C93&lt;$L$8),"管理外",""),"")</x:f>
      </x:c>
      <x:c r="F93" s="21"/>
      <x:c r="G93" s="102" t="e">
        <x:f>IF(24&lt;=$H$10,24,NA())</x:f>
        <x:v>#N/A</x:v>
      </x:c>
      <x:c r="H93" s="103" t="e">
        <x:f>IF(AND(ISNUMBER(B41),$H$12="計算可能"),B41,NA())</x:f>
        <x:v>#N/A</x:v>
      </x:c>
      <x:c r="I93" s="103" t="e">
        <x:f>IF(AND(24&lt;=$H$10,$H$12="計算可能"),$H$6,NA())</x:f>
        <x:v>#N/A</x:v>
      </x:c>
      <x:c r="J93" s="103" t="e">
        <x:f>IF(AND(24&lt;=$H$10,$H$12="計算可能"),$H$7,NA())</x:f>
        <x:v>#N/A</x:v>
      </x:c>
      <x:c r="K93" s="103" t="e">
        <x:f>IF(AND(24&lt;=$H$10,$H$12="計算可能"),$H$8,NA())</x:f>
        <x:v>#N/A</x:v>
      </x:c>
      <x:c r="L93" s="102" t="e">
        <x:f>IF(24&lt;=$H$10,24,NA())</x:f>
        <x:v>#N/A</x:v>
      </x:c>
      <x:c r="M93" s="103" t="e">
        <x:f>IF(AND(ISNUMBER(C41),$H$12="計算可能"),C41,NA())</x:f>
        <x:v>#N/A</x:v>
      </x:c>
      <x:c r="N93" s="103" t="e">
        <x:f>IF(AND(24&lt;=$H$10,$H$12="計算可能"),$L$6,NA())</x:f>
        <x:v>#N/A</x:v>
      </x:c>
      <x:c r="O93" s="103" t="e">
        <x:f>IF(AND(24&lt;=$H$10,$H$12="計算可能"),$L$7,NA())</x:f>
        <x:v>#N/A</x:v>
      </x:c>
      <x:c r="P93" s="103" t="e">
        <x:f>IF(AND(24&lt;=$H$10,$H$12="計算可能"),$L$8,NA())</x:f>
        <x:v>#N/A</x:v>
      </x:c>
      <x:c r="Q93" s="21"/>
    </x:row>
    <x:row r="94" ht="21" customHeight="1">
      <x:c r="A94" s="91" t="str">
        <x:f>IF(ISNUMBER(B94),77,"")</x:f>
      </x:c>
      <x:c r="B94" s="89"/>
      <x:c r="C94" s="70" t="str">
        <x:f>IF(AND(ISNUMBER(B93),ISNUMBER(B94)),ABS(B94-B93),"")</x:f>
      </x:c>
      <x:c r="D94" s="67" t="str">
        <x:f>IF(AND(ISNUMBER(B94),$H$12="計算可能"),IF(OR(B94&gt;$H$7,B94&lt;$H$8),"管理外",""),"")</x:f>
      </x:c>
      <x:c r="E94" s="67" t="str">
        <x:f>IF(AND(ISNUMBER(C94),$H$12="計算可能"),IF(OR(C94&gt;$L$7,C94&lt;$L$8),"管理外",""),"")</x:f>
      </x:c>
      <x:c r="F94" s="21"/>
      <x:c r="G94" s="102" t="e">
        <x:f>IF(25&lt;=$H$10,25,NA())</x:f>
        <x:v>#N/A</x:v>
      </x:c>
      <x:c r="H94" s="103" t="e">
        <x:f>IF(AND(ISNUMBER(B42),$H$12="計算可能"),B42,NA())</x:f>
        <x:v>#N/A</x:v>
      </x:c>
      <x:c r="I94" s="103" t="e">
        <x:f>IF(AND(25&lt;=$H$10,$H$12="計算可能"),$H$6,NA())</x:f>
        <x:v>#N/A</x:v>
      </x:c>
      <x:c r="J94" s="103" t="e">
        <x:f>IF(AND(25&lt;=$H$10,$H$12="計算可能"),$H$7,NA())</x:f>
        <x:v>#N/A</x:v>
      </x:c>
      <x:c r="K94" s="103" t="e">
        <x:f>IF(AND(25&lt;=$H$10,$H$12="計算可能"),$H$8,NA())</x:f>
        <x:v>#N/A</x:v>
      </x:c>
      <x:c r="L94" s="102" t="e">
        <x:f>IF(25&lt;=$H$10,25,NA())</x:f>
        <x:v>#N/A</x:v>
      </x:c>
      <x:c r="M94" s="103" t="e">
        <x:f>IF(AND(ISNUMBER(C42),$H$12="計算可能"),C42,NA())</x:f>
        <x:v>#N/A</x:v>
      </x:c>
      <x:c r="N94" s="103" t="e">
        <x:f>IF(AND(25&lt;=$H$10,$H$12="計算可能"),$L$6,NA())</x:f>
        <x:v>#N/A</x:v>
      </x:c>
      <x:c r="O94" s="103" t="e">
        <x:f>IF(AND(25&lt;=$H$10,$H$12="計算可能"),$L$7,NA())</x:f>
        <x:v>#N/A</x:v>
      </x:c>
      <x:c r="P94" s="103" t="e">
        <x:f>IF(AND(25&lt;=$H$10,$H$12="計算可能"),$L$8,NA())</x:f>
        <x:v>#N/A</x:v>
      </x:c>
      <x:c r="Q94" s="21"/>
    </x:row>
    <x:row r="95" ht="21" customHeight="1">
      <x:c r="A95" s="91" t="str">
        <x:f>IF(ISNUMBER(B95),78,"")</x:f>
      </x:c>
      <x:c r="B95" s="89"/>
      <x:c r="C95" s="70" t="str">
        <x:f>IF(AND(ISNUMBER(B94),ISNUMBER(B95)),ABS(B95-B94),"")</x:f>
      </x:c>
      <x:c r="D95" s="67" t="str">
        <x:f>IF(AND(ISNUMBER(B95),$H$12="計算可能"),IF(OR(B95&gt;$H$7,B95&lt;$H$8),"管理外",""),"")</x:f>
      </x:c>
      <x:c r="E95" s="67" t="str">
        <x:f>IF(AND(ISNUMBER(C95),$H$12="計算可能"),IF(OR(C95&gt;$L$7,C95&lt;$L$8),"管理外",""),"")</x:f>
      </x:c>
      <x:c r="F95" s="21"/>
      <x:c r="G95" s="102" t="e">
        <x:f>IF(26&lt;=$H$10,26,NA())</x:f>
        <x:v>#N/A</x:v>
      </x:c>
      <x:c r="H95" s="103" t="e">
        <x:f>IF(AND(ISNUMBER(B43),$H$12="計算可能"),B43,NA())</x:f>
        <x:v>#N/A</x:v>
      </x:c>
      <x:c r="I95" s="103" t="e">
        <x:f>IF(AND(26&lt;=$H$10,$H$12="計算可能"),$H$6,NA())</x:f>
        <x:v>#N/A</x:v>
      </x:c>
      <x:c r="J95" s="103" t="e">
        <x:f>IF(AND(26&lt;=$H$10,$H$12="計算可能"),$H$7,NA())</x:f>
        <x:v>#N/A</x:v>
      </x:c>
      <x:c r="K95" s="103" t="e">
        <x:f>IF(AND(26&lt;=$H$10,$H$12="計算可能"),$H$8,NA())</x:f>
        <x:v>#N/A</x:v>
      </x:c>
      <x:c r="L95" s="102" t="e">
        <x:f>IF(26&lt;=$H$10,26,NA())</x:f>
        <x:v>#N/A</x:v>
      </x:c>
      <x:c r="M95" s="103" t="e">
        <x:f>IF(AND(ISNUMBER(C43),$H$12="計算可能"),C43,NA())</x:f>
        <x:v>#N/A</x:v>
      </x:c>
      <x:c r="N95" s="103" t="e">
        <x:f>IF(AND(26&lt;=$H$10,$H$12="計算可能"),$L$6,NA())</x:f>
        <x:v>#N/A</x:v>
      </x:c>
      <x:c r="O95" s="103" t="e">
        <x:f>IF(AND(26&lt;=$H$10,$H$12="計算可能"),$L$7,NA())</x:f>
        <x:v>#N/A</x:v>
      </x:c>
      <x:c r="P95" s="103" t="e">
        <x:f>IF(AND(26&lt;=$H$10,$H$12="計算可能"),$L$8,NA())</x:f>
        <x:v>#N/A</x:v>
      </x:c>
      <x:c r="Q95" s="21"/>
    </x:row>
    <x:row r="96" ht="21" customHeight="1">
      <x:c r="A96" s="91" t="str">
        <x:f>IF(ISNUMBER(B96),79,"")</x:f>
      </x:c>
      <x:c r="B96" s="89"/>
      <x:c r="C96" s="70" t="str">
        <x:f>IF(AND(ISNUMBER(B95),ISNUMBER(B96)),ABS(B96-B95),"")</x:f>
      </x:c>
      <x:c r="D96" s="67" t="str">
        <x:f>IF(AND(ISNUMBER(B96),$H$12="計算可能"),IF(OR(B96&gt;$H$7,B96&lt;$H$8),"管理外",""),"")</x:f>
      </x:c>
      <x:c r="E96" s="67" t="str">
        <x:f>IF(AND(ISNUMBER(C96),$H$12="計算可能"),IF(OR(C96&gt;$L$7,C96&lt;$L$8),"管理外",""),"")</x:f>
      </x:c>
      <x:c r="F96" s="21"/>
      <x:c r="G96" s="102" t="e">
        <x:f>IF(27&lt;=$H$10,27,NA())</x:f>
        <x:v>#N/A</x:v>
      </x:c>
      <x:c r="H96" s="103" t="e">
        <x:f>IF(AND(ISNUMBER(B44),$H$12="計算可能"),B44,NA())</x:f>
        <x:v>#N/A</x:v>
      </x:c>
      <x:c r="I96" s="103" t="e">
        <x:f>IF(AND(27&lt;=$H$10,$H$12="計算可能"),$H$6,NA())</x:f>
        <x:v>#N/A</x:v>
      </x:c>
      <x:c r="J96" s="103" t="e">
        <x:f>IF(AND(27&lt;=$H$10,$H$12="計算可能"),$H$7,NA())</x:f>
        <x:v>#N/A</x:v>
      </x:c>
      <x:c r="K96" s="103" t="e">
        <x:f>IF(AND(27&lt;=$H$10,$H$12="計算可能"),$H$8,NA())</x:f>
        <x:v>#N/A</x:v>
      </x:c>
      <x:c r="L96" s="102" t="e">
        <x:f>IF(27&lt;=$H$10,27,NA())</x:f>
        <x:v>#N/A</x:v>
      </x:c>
      <x:c r="M96" s="103" t="e">
        <x:f>IF(AND(ISNUMBER(C44),$H$12="計算可能"),C44,NA())</x:f>
        <x:v>#N/A</x:v>
      </x:c>
      <x:c r="N96" s="103" t="e">
        <x:f>IF(AND(27&lt;=$H$10,$H$12="計算可能"),$L$6,NA())</x:f>
        <x:v>#N/A</x:v>
      </x:c>
      <x:c r="O96" s="103" t="e">
        <x:f>IF(AND(27&lt;=$H$10,$H$12="計算可能"),$L$7,NA())</x:f>
        <x:v>#N/A</x:v>
      </x:c>
      <x:c r="P96" s="103" t="e">
        <x:f>IF(AND(27&lt;=$H$10,$H$12="計算可能"),$L$8,NA())</x:f>
        <x:v>#N/A</x:v>
      </x:c>
      <x:c r="Q96" s="21"/>
    </x:row>
    <x:row r="97" ht="21" customHeight="1">
      <x:c r="A97" s="91" t="str">
        <x:f>IF(ISNUMBER(B97),80,"")</x:f>
      </x:c>
      <x:c r="B97" s="89"/>
      <x:c r="C97" s="70" t="str">
        <x:f>IF(AND(ISNUMBER(B96),ISNUMBER(B97)),ABS(B97-B96),"")</x:f>
      </x:c>
      <x:c r="D97" s="67" t="str">
        <x:f>IF(AND(ISNUMBER(B97),$H$12="計算可能"),IF(OR(B97&gt;$H$7,B97&lt;$H$8),"管理外",""),"")</x:f>
      </x:c>
      <x:c r="E97" s="67" t="str">
        <x:f>IF(AND(ISNUMBER(C97),$H$12="計算可能"),IF(OR(C97&gt;$L$7,C97&lt;$L$8),"管理外",""),"")</x:f>
      </x:c>
      <x:c r="F97" s="21"/>
      <x:c r="G97" s="102" t="e">
        <x:f>IF(28&lt;=$H$10,28,NA())</x:f>
        <x:v>#N/A</x:v>
      </x:c>
      <x:c r="H97" s="103" t="e">
        <x:f>IF(AND(ISNUMBER(B45),$H$12="計算可能"),B45,NA())</x:f>
        <x:v>#N/A</x:v>
      </x:c>
      <x:c r="I97" s="103" t="e">
        <x:f>IF(AND(28&lt;=$H$10,$H$12="計算可能"),$H$6,NA())</x:f>
        <x:v>#N/A</x:v>
      </x:c>
      <x:c r="J97" s="103" t="e">
        <x:f>IF(AND(28&lt;=$H$10,$H$12="計算可能"),$H$7,NA())</x:f>
        <x:v>#N/A</x:v>
      </x:c>
      <x:c r="K97" s="103" t="e">
        <x:f>IF(AND(28&lt;=$H$10,$H$12="計算可能"),$H$8,NA())</x:f>
        <x:v>#N/A</x:v>
      </x:c>
      <x:c r="L97" s="102" t="e">
        <x:f>IF(28&lt;=$H$10,28,NA())</x:f>
        <x:v>#N/A</x:v>
      </x:c>
      <x:c r="M97" s="103" t="e">
        <x:f>IF(AND(ISNUMBER(C45),$H$12="計算可能"),C45,NA())</x:f>
        <x:v>#N/A</x:v>
      </x:c>
      <x:c r="N97" s="103" t="e">
        <x:f>IF(AND(28&lt;=$H$10,$H$12="計算可能"),$L$6,NA())</x:f>
        <x:v>#N/A</x:v>
      </x:c>
      <x:c r="O97" s="103" t="e">
        <x:f>IF(AND(28&lt;=$H$10,$H$12="計算可能"),$L$7,NA())</x:f>
        <x:v>#N/A</x:v>
      </x:c>
      <x:c r="P97" s="103" t="e">
        <x:f>IF(AND(28&lt;=$H$10,$H$12="計算可能"),$L$8,NA())</x:f>
        <x:v>#N/A</x:v>
      </x:c>
      <x:c r="Q97" s="21"/>
    </x:row>
    <x:row r="98" ht="21" customHeight="1">
      <x:c r="A98" s="91" t="str">
        <x:f>IF(ISNUMBER(B98),81,"")</x:f>
      </x:c>
      <x:c r="B98" s="89"/>
      <x:c r="C98" s="70" t="str">
        <x:f>IF(AND(ISNUMBER(B97),ISNUMBER(B98)),ABS(B98-B97),"")</x:f>
      </x:c>
      <x:c r="D98" s="67" t="str">
        <x:f>IF(AND(ISNUMBER(B98),$H$12="計算可能"),IF(OR(B98&gt;$H$7,B98&lt;$H$8),"管理外",""),"")</x:f>
      </x:c>
      <x:c r="E98" s="67" t="str">
        <x:f>IF(AND(ISNUMBER(C98),$H$12="計算可能"),IF(OR(C98&gt;$L$7,C98&lt;$L$8),"管理外",""),"")</x:f>
      </x:c>
      <x:c r="F98" s="21"/>
      <x:c r="G98" s="102" t="e">
        <x:f>IF(29&lt;=$H$10,29,NA())</x:f>
        <x:v>#N/A</x:v>
      </x:c>
      <x:c r="H98" s="103" t="e">
        <x:f>IF(AND(ISNUMBER(B46),$H$12="計算可能"),B46,NA())</x:f>
        <x:v>#N/A</x:v>
      </x:c>
      <x:c r="I98" s="103" t="e">
        <x:f>IF(AND(29&lt;=$H$10,$H$12="計算可能"),$H$6,NA())</x:f>
        <x:v>#N/A</x:v>
      </x:c>
      <x:c r="J98" s="103" t="e">
        <x:f>IF(AND(29&lt;=$H$10,$H$12="計算可能"),$H$7,NA())</x:f>
        <x:v>#N/A</x:v>
      </x:c>
      <x:c r="K98" s="103" t="e">
        <x:f>IF(AND(29&lt;=$H$10,$H$12="計算可能"),$H$8,NA())</x:f>
        <x:v>#N/A</x:v>
      </x:c>
      <x:c r="L98" s="102" t="e">
        <x:f>IF(29&lt;=$H$10,29,NA())</x:f>
        <x:v>#N/A</x:v>
      </x:c>
      <x:c r="M98" s="103" t="e">
        <x:f>IF(AND(ISNUMBER(C46),$H$12="計算可能"),C46,NA())</x:f>
        <x:v>#N/A</x:v>
      </x:c>
      <x:c r="N98" s="103" t="e">
        <x:f>IF(AND(29&lt;=$H$10,$H$12="計算可能"),$L$6,NA())</x:f>
        <x:v>#N/A</x:v>
      </x:c>
      <x:c r="O98" s="103" t="e">
        <x:f>IF(AND(29&lt;=$H$10,$H$12="計算可能"),$L$7,NA())</x:f>
        <x:v>#N/A</x:v>
      </x:c>
      <x:c r="P98" s="103" t="e">
        <x:f>IF(AND(29&lt;=$H$10,$H$12="計算可能"),$L$8,NA())</x:f>
        <x:v>#N/A</x:v>
      </x:c>
      <x:c r="Q98" s="21"/>
    </x:row>
    <x:row r="99" ht="21" customHeight="1">
      <x:c r="A99" s="91" t="str">
        <x:f>IF(ISNUMBER(B99),82,"")</x:f>
      </x:c>
      <x:c r="B99" s="89"/>
      <x:c r="C99" s="70" t="str">
        <x:f>IF(AND(ISNUMBER(B98),ISNUMBER(B99)),ABS(B99-B98),"")</x:f>
      </x:c>
      <x:c r="D99" s="67" t="str">
        <x:f>IF(AND(ISNUMBER(B99),$H$12="計算可能"),IF(OR(B99&gt;$H$7,B99&lt;$H$8),"管理外",""),"")</x:f>
      </x:c>
      <x:c r="E99" s="67" t="str">
        <x:f>IF(AND(ISNUMBER(C99),$H$12="計算可能"),IF(OR(C99&gt;$L$7,C99&lt;$L$8),"管理外",""),"")</x:f>
      </x:c>
      <x:c r="F99" s="21"/>
      <x:c r="G99" s="102" t="e">
        <x:f>IF(30&lt;=$H$10,30,NA())</x:f>
        <x:v>#N/A</x:v>
      </x:c>
      <x:c r="H99" s="103" t="e">
        <x:f>IF(AND(ISNUMBER(B47),$H$12="計算可能"),B47,NA())</x:f>
        <x:v>#N/A</x:v>
      </x:c>
      <x:c r="I99" s="103" t="e">
        <x:f>IF(AND(30&lt;=$H$10,$H$12="計算可能"),$H$6,NA())</x:f>
        <x:v>#N/A</x:v>
      </x:c>
      <x:c r="J99" s="103" t="e">
        <x:f>IF(AND(30&lt;=$H$10,$H$12="計算可能"),$H$7,NA())</x:f>
        <x:v>#N/A</x:v>
      </x:c>
      <x:c r="K99" s="103" t="e">
        <x:f>IF(AND(30&lt;=$H$10,$H$12="計算可能"),$H$8,NA())</x:f>
        <x:v>#N/A</x:v>
      </x:c>
      <x:c r="L99" s="102" t="e">
        <x:f>IF(30&lt;=$H$10,30,NA())</x:f>
        <x:v>#N/A</x:v>
      </x:c>
      <x:c r="M99" s="103" t="e">
        <x:f>IF(AND(ISNUMBER(C47),$H$12="計算可能"),C47,NA())</x:f>
        <x:v>#N/A</x:v>
      </x:c>
      <x:c r="N99" s="103" t="e">
        <x:f>IF(AND(30&lt;=$H$10,$H$12="計算可能"),$L$6,NA())</x:f>
        <x:v>#N/A</x:v>
      </x:c>
      <x:c r="O99" s="103" t="e">
        <x:f>IF(AND(30&lt;=$H$10,$H$12="計算可能"),$L$7,NA())</x:f>
        <x:v>#N/A</x:v>
      </x:c>
      <x:c r="P99" s="103" t="e">
        <x:f>IF(AND(30&lt;=$H$10,$H$12="計算可能"),$L$8,NA())</x:f>
        <x:v>#N/A</x:v>
      </x:c>
      <x:c r="Q99" s="21"/>
    </x:row>
    <x:row r="100" ht="21" customHeight="1">
      <x:c r="A100" s="91" t="str">
        <x:f>IF(ISNUMBER(B100),83,"")</x:f>
      </x:c>
      <x:c r="B100" s="89"/>
      <x:c r="C100" s="70" t="str">
        <x:f>IF(AND(ISNUMBER(B99),ISNUMBER(B100)),ABS(B100-B99),"")</x:f>
      </x:c>
      <x:c r="D100" s="67" t="str">
        <x:f>IF(AND(ISNUMBER(B100),$H$12="計算可能"),IF(OR(B100&gt;$H$7,B100&lt;$H$8),"管理外",""),"")</x:f>
      </x:c>
      <x:c r="E100" s="67" t="str">
        <x:f>IF(AND(ISNUMBER(C100),$H$12="計算可能"),IF(OR(C100&gt;$L$7,C100&lt;$L$8),"管理外",""),"")</x:f>
      </x:c>
      <x:c r="F100" s="21"/>
      <x:c r="G100" s="102" t="e">
        <x:f>IF(31&lt;=$H$10,31,NA())</x:f>
        <x:v>#N/A</x:v>
      </x:c>
      <x:c r="H100" s="103" t="e">
        <x:f>IF(AND(ISNUMBER(B48),$H$12="計算可能"),B48,NA())</x:f>
        <x:v>#N/A</x:v>
      </x:c>
      <x:c r="I100" s="103" t="e">
        <x:f>IF(AND(31&lt;=$H$10,$H$12="計算可能"),$H$6,NA())</x:f>
        <x:v>#N/A</x:v>
      </x:c>
      <x:c r="J100" s="103" t="e">
        <x:f>IF(AND(31&lt;=$H$10,$H$12="計算可能"),$H$7,NA())</x:f>
        <x:v>#N/A</x:v>
      </x:c>
      <x:c r="K100" s="103" t="e">
        <x:f>IF(AND(31&lt;=$H$10,$H$12="計算可能"),$H$8,NA())</x:f>
        <x:v>#N/A</x:v>
      </x:c>
      <x:c r="L100" s="102" t="e">
        <x:f>IF(31&lt;=$H$10,31,NA())</x:f>
        <x:v>#N/A</x:v>
      </x:c>
      <x:c r="M100" s="103" t="e">
        <x:f>IF(AND(ISNUMBER(C48),$H$12="計算可能"),C48,NA())</x:f>
        <x:v>#N/A</x:v>
      </x:c>
      <x:c r="N100" s="103" t="e">
        <x:f>IF(AND(31&lt;=$H$10,$H$12="計算可能"),$L$6,NA())</x:f>
        <x:v>#N/A</x:v>
      </x:c>
      <x:c r="O100" s="103" t="e">
        <x:f>IF(AND(31&lt;=$H$10,$H$12="計算可能"),$L$7,NA())</x:f>
        <x:v>#N/A</x:v>
      </x:c>
      <x:c r="P100" s="103" t="e">
        <x:f>IF(AND(31&lt;=$H$10,$H$12="計算可能"),$L$8,NA())</x:f>
        <x:v>#N/A</x:v>
      </x:c>
      <x:c r="Q100" s="21"/>
    </x:row>
    <x:row r="101" ht="21" customHeight="1">
      <x:c r="A101" s="91" t="str">
        <x:f>IF(ISNUMBER(B101),84,"")</x:f>
      </x:c>
      <x:c r="B101" s="89"/>
      <x:c r="C101" s="70" t="str">
        <x:f>IF(AND(ISNUMBER(B100),ISNUMBER(B101)),ABS(B101-B100),"")</x:f>
      </x:c>
      <x:c r="D101" s="67" t="str">
        <x:f>IF(AND(ISNUMBER(B101),$H$12="計算可能"),IF(OR(B101&gt;$H$7,B101&lt;$H$8),"管理外",""),"")</x:f>
      </x:c>
      <x:c r="E101" s="67" t="str">
        <x:f>IF(AND(ISNUMBER(C101),$H$12="計算可能"),IF(OR(C101&gt;$L$7,C101&lt;$L$8),"管理外",""),"")</x:f>
      </x:c>
      <x:c r="F101" s="21"/>
      <x:c r="G101" s="102" t="e">
        <x:f>IF(32&lt;=$H$10,32,NA())</x:f>
        <x:v>#N/A</x:v>
      </x:c>
      <x:c r="H101" s="103" t="e">
        <x:f>IF(AND(ISNUMBER(B49),$H$12="計算可能"),B49,NA())</x:f>
        <x:v>#N/A</x:v>
      </x:c>
      <x:c r="I101" s="103" t="e">
        <x:f>IF(AND(32&lt;=$H$10,$H$12="計算可能"),$H$6,NA())</x:f>
        <x:v>#N/A</x:v>
      </x:c>
      <x:c r="J101" s="103" t="e">
        <x:f>IF(AND(32&lt;=$H$10,$H$12="計算可能"),$H$7,NA())</x:f>
        <x:v>#N/A</x:v>
      </x:c>
      <x:c r="K101" s="103" t="e">
        <x:f>IF(AND(32&lt;=$H$10,$H$12="計算可能"),$H$8,NA())</x:f>
        <x:v>#N/A</x:v>
      </x:c>
      <x:c r="L101" s="102" t="e">
        <x:f>IF(32&lt;=$H$10,32,NA())</x:f>
        <x:v>#N/A</x:v>
      </x:c>
      <x:c r="M101" s="103" t="e">
        <x:f>IF(AND(ISNUMBER(C49),$H$12="計算可能"),C49,NA())</x:f>
        <x:v>#N/A</x:v>
      </x:c>
      <x:c r="N101" s="103" t="e">
        <x:f>IF(AND(32&lt;=$H$10,$H$12="計算可能"),$L$6,NA())</x:f>
        <x:v>#N/A</x:v>
      </x:c>
      <x:c r="O101" s="103" t="e">
        <x:f>IF(AND(32&lt;=$H$10,$H$12="計算可能"),$L$7,NA())</x:f>
        <x:v>#N/A</x:v>
      </x:c>
      <x:c r="P101" s="103" t="e">
        <x:f>IF(AND(32&lt;=$H$10,$H$12="計算可能"),$L$8,NA())</x:f>
        <x:v>#N/A</x:v>
      </x:c>
      <x:c r="Q101" s="21"/>
    </x:row>
    <x:row r="102" ht="21" customHeight="1">
      <x:c r="A102" s="91" t="str">
        <x:f>IF(ISNUMBER(B102),85,"")</x:f>
      </x:c>
      <x:c r="B102" s="89"/>
      <x:c r="C102" s="70" t="str">
        <x:f>IF(AND(ISNUMBER(B101),ISNUMBER(B102)),ABS(B102-B101),"")</x:f>
      </x:c>
      <x:c r="D102" s="67" t="str">
        <x:f>IF(AND(ISNUMBER(B102),$H$12="計算可能"),IF(OR(B102&gt;$H$7,B102&lt;$H$8),"管理外",""),"")</x:f>
      </x:c>
      <x:c r="E102" s="67" t="str">
        <x:f>IF(AND(ISNUMBER(C102),$H$12="計算可能"),IF(OR(C102&gt;$L$7,C102&lt;$L$8),"管理外",""),"")</x:f>
      </x:c>
      <x:c r="F102" s="21"/>
      <x:c r="G102" s="102" t="e">
        <x:f>IF(33&lt;=$H$10,33,NA())</x:f>
        <x:v>#N/A</x:v>
      </x:c>
      <x:c r="H102" s="103" t="e">
        <x:f>IF(AND(ISNUMBER(B50),$H$12="計算可能"),B50,NA())</x:f>
        <x:v>#N/A</x:v>
      </x:c>
      <x:c r="I102" s="103" t="e">
        <x:f>IF(AND(33&lt;=$H$10,$H$12="計算可能"),$H$6,NA())</x:f>
        <x:v>#N/A</x:v>
      </x:c>
      <x:c r="J102" s="103" t="e">
        <x:f>IF(AND(33&lt;=$H$10,$H$12="計算可能"),$H$7,NA())</x:f>
        <x:v>#N/A</x:v>
      </x:c>
      <x:c r="K102" s="103" t="e">
        <x:f>IF(AND(33&lt;=$H$10,$H$12="計算可能"),$H$8,NA())</x:f>
        <x:v>#N/A</x:v>
      </x:c>
      <x:c r="L102" s="102" t="e">
        <x:f>IF(33&lt;=$H$10,33,NA())</x:f>
        <x:v>#N/A</x:v>
      </x:c>
      <x:c r="M102" s="103" t="e">
        <x:f>IF(AND(ISNUMBER(C50),$H$12="計算可能"),C50,NA())</x:f>
        <x:v>#N/A</x:v>
      </x:c>
      <x:c r="N102" s="103" t="e">
        <x:f>IF(AND(33&lt;=$H$10,$H$12="計算可能"),$L$6,NA())</x:f>
        <x:v>#N/A</x:v>
      </x:c>
      <x:c r="O102" s="103" t="e">
        <x:f>IF(AND(33&lt;=$H$10,$H$12="計算可能"),$L$7,NA())</x:f>
        <x:v>#N/A</x:v>
      </x:c>
      <x:c r="P102" s="103" t="e">
        <x:f>IF(AND(33&lt;=$H$10,$H$12="計算可能"),$L$8,NA())</x:f>
        <x:v>#N/A</x:v>
      </x:c>
      <x:c r="Q102" s="21"/>
    </x:row>
    <x:row r="103" ht="21" customHeight="1">
      <x:c r="A103" s="91" t="str">
        <x:f>IF(ISNUMBER(B103),86,"")</x:f>
      </x:c>
      <x:c r="B103" s="89"/>
      <x:c r="C103" s="70" t="str">
        <x:f>IF(AND(ISNUMBER(B102),ISNUMBER(B103)),ABS(B103-B102),"")</x:f>
      </x:c>
      <x:c r="D103" s="67" t="str">
        <x:f>IF(AND(ISNUMBER(B103),$H$12="計算可能"),IF(OR(B103&gt;$H$7,B103&lt;$H$8),"管理外",""),"")</x:f>
      </x:c>
      <x:c r="E103" s="67" t="str">
        <x:f>IF(AND(ISNUMBER(C103),$H$12="計算可能"),IF(OR(C103&gt;$L$7,C103&lt;$L$8),"管理外",""),"")</x:f>
      </x:c>
      <x:c r="F103" s="21"/>
      <x:c r="G103" s="102" t="e">
        <x:f>IF(34&lt;=$H$10,34,NA())</x:f>
        <x:v>#N/A</x:v>
      </x:c>
      <x:c r="H103" s="103" t="e">
        <x:f>IF(AND(ISNUMBER(B51),$H$12="計算可能"),B51,NA())</x:f>
        <x:v>#N/A</x:v>
      </x:c>
      <x:c r="I103" s="103" t="e">
        <x:f>IF(AND(34&lt;=$H$10,$H$12="計算可能"),$H$6,NA())</x:f>
        <x:v>#N/A</x:v>
      </x:c>
      <x:c r="J103" s="103" t="e">
        <x:f>IF(AND(34&lt;=$H$10,$H$12="計算可能"),$H$7,NA())</x:f>
        <x:v>#N/A</x:v>
      </x:c>
      <x:c r="K103" s="103" t="e">
        <x:f>IF(AND(34&lt;=$H$10,$H$12="計算可能"),$H$8,NA())</x:f>
        <x:v>#N/A</x:v>
      </x:c>
      <x:c r="L103" s="102" t="e">
        <x:f>IF(34&lt;=$H$10,34,NA())</x:f>
        <x:v>#N/A</x:v>
      </x:c>
      <x:c r="M103" s="103" t="e">
        <x:f>IF(AND(ISNUMBER(C51),$H$12="計算可能"),C51,NA())</x:f>
        <x:v>#N/A</x:v>
      </x:c>
      <x:c r="N103" s="103" t="e">
        <x:f>IF(AND(34&lt;=$H$10,$H$12="計算可能"),$L$6,NA())</x:f>
        <x:v>#N/A</x:v>
      </x:c>
      <x:c r="O103" s="103" t="e">
        <x:f>IF(AND(34&lt;=$H$10,$H$12="計算可能"),$L$7,NA())</x:f>
        <x:v>#N/A</x:v>
      </x:c>
      <x:c r="P103" s="103" t="e">
        <x:f>IF(AND(34&lt;=$H$10,$H$12="計算可能"),$L$8,NA())</x:f>
        <x:v>#N/A</x:v>
      </x:c>
      <x:c r="Q103" s="21"/>
    </x:row>
    <x:row r="104" ht="21" customHeight="1">
      <x:c r="A104" s="91" t="str">
        <x:f>IF(ISNUMBER(B104),87,"")</x:f>
      </x:c>
      <x:c r="B104" s="89"/>
      <x:c r="C104" s="70" t="str">
        <x:f>IF(AND(ISNUMBER(B103),ISNUMBER(B104)),ABS(B104-B103),"")</x:f>
      </x:c>
      <x:c r="D104" s="67" t="str">
        <x:f>IF(AND(ISNUMBER(B104),$H$12="計算可能"),IF(OR(B104&gt;$H$7,B104&lt;$H$8),"管理外",""),"")</x:f>
      </x:c>
      <x:c r="E104" s="67" t="str">
        <x:f>IF(AND(ISNUMBER(C104),$H$12="計算可能"),IF(OR(C104&gt;$L$7,C104&lt;$L$8),"管理外",""),"")</x:f>
      </x:c>
      <x:c r="F104" s="21"/>
      <x:c r="G104" s="102" t="e">
        <x:f>IF(35&lt;=$H$10,35,NA())</x:f>
        <x:v>#N/A</x:v>
      </x:c>
      <x:c r="H104" s="103" t="e">
        <x:f>IF(AND(ISNUMBER(B52),$H$12="計算可能"),B52,NA())</x:f>
        <x:v>#N/A</x:v>
      </x:c>
      <x:c r="I104" s="103" t="e">
        <x:f>IF(AND(35&lt;=$H$10,$H$12="計算可能"),$H$6,NA())</x:f>
        <x:v>#N/A</x:v>
      </x:c>
      <x:c r="J104" s="103" t="e">
        <x:f>IF(AND(35&lt;=$H$10,$H$12="計算可能"),$H$7,NA())</x:f>
        <x:v>#N/A</x:v>
      </x:c>
      <x:c r="K104" s="103" t="e">
        <x:f>IF(AND(35&lt;=$H$10,$H$12="計算可能"),$H$8,NA())</x:f>
        <x:v>#N/A</x:v>
      </x:c>
      <x:c r="L104" s="102" t="e">
        <x:f>IF(35&lt;=$H$10,35,NA())</x:f>
        <x:v>#N/A</x:v>
      </x:c>
      <x:c r="M104" s="103" t="e">
        <x:f>IF(AND(ISNUMBER(C52),$H$12="計算可能"),C52,NA())</x:f>
        <x:v>#N/A</x:v>
      </x:c>
      <x:c r="N104" s="103" t="e">
        <x:f>IF(AND(35&lt;=$H$10,$H$12="計算可能"),$L$6,NA())</x:f>
        <x:v>#N/A</x:v>
      </x:c>
      <x:c r="O104" s="103" t="e">
        <x:f>IF(AND(35&lt;=$H$10,$H$12="計算可能"),$L$7,NA())</x:f>
        <x:v>#N/A</x:v>
      </x:c>
      <x:c r="P104" s="103" t="e">
        <x:f>IF(AND(35&lt;=$H$10,$H$12="計算可能"),$L$8,NA())</x:f>
        <x:v>#N/A</x:v>
      </x:c>
      <x:c r="Q104" s="21"/>
    </x:row>
    <x:row r="105" ht="21" customHeight="1">
      <x:c r="A105" s="91" t="str">
        <x:f>IF(ISNUMBER(B105),88,"")</x:f>
      </x:c>
      <x:c r="B105" s="89"/>
      <x:c r="C105" s="70" t="str">
        <x:f>IF(AND(ISNUMBER(B104),ISNUMBER(B105)),ABS(B105-B104),"")</x:f>
      </x:c>
      <x:c r="D105" s="67" t="str">
        <x:f>IF(AND(ISNUMBER(B105),$H$12="計算可能"),IF(OR(B105&gt;$H$7,B105&lt;$H$8),"管理外",""),"")</x:f>
      </x:c>
      <x:c r="E105" s="67" t="str">
        <x:f>IF(AND(ISNUMBER(C105),$H$12="計算可能"),IF(OR(C105&gt;$L$7,C105&lt;$L$8),"管理外",""),"")</x:f>
      </x:c>
      <x:c r="F105" s="21"/>
      <x:c r="G105" s="102" t="e">
        <x:f>IF(36&lt;=$H$10,36,NA())</x:f>
        <x:v>#N/A</x:v>
      </x:c>
      <x:c r="H105" s="103" t="e">
        <x:f>IF(AND(ISNUMBER(B53),$H$12="計算可能"),B53,NA())</x:f>
        <x:v>#N/A</x:v>
      </x:c>
      <x:c r="I105" s="103" t="e">
        <x:f>IF(AND(36&lt;=$H$10,$H$12="計算可能"),$H$6,NA())</x:f>
        <x:v>#N/A</x:v>
      </x:c>
      <x:c r="J105" s="103" t="e">
        <x:f>IF(AND(36&lt;=$H$10,$H$12="計算可能"),$H$7,NA())</x:f>
        <x:v>#N/A</x:v>
      </x:c>
      <x:c r="K105" s="103" t="e">
        <x:f>IF(AND(36&lt;=$H$10,$H$12="計算可能"),$H$8,NA())</x:f>
        <x:v>#N/A</x:v>
      </x:c>
      <x:c r="L105" s="102" t="e">
        <x:f>IF(36&lt;=$H$10,36,NA())</x:f>
        <x:v>#N/A</x:v>
      </x:c>
      <x:c r="M105" s="103" t="e">
        <x:f>IF(AND(ISNUMBER(C53),$H$12="計算可能"),C53,NA())</x:f>
        <x:v>#N/A</x:v>
      </x:c>
      <x:c r="N105" s="103" t="e">
        <x:f>IF(AND(36&lt;=$H$10,$H$12="計算可能"),$L$6,NA())</x:f>
        <x:v>#N/A</x:v>
      </x:c>
      <x:c r="O105" s="103" t="e">
        <x:f>IF(AND(36&lt;=$H$10,$H$12="計算可能"),$L$7,NA())</x:f>
        <x:v>#N/A</x:v>
      </x:c>
      <x:c r="P105" s="103" t="e">
        <x:f>IF(AND(36&lt;=$H$10,$H$12="計算可能"),$L$8,NA())</x:f>
        <x:v>#N/A</x:v>
      </x:c>
      <x:c r="Q105" s="21"/>
    </x:row>
    <x:row r="106" ht="21" customHeight="1">
      <x:c r="A106" s="91" t="str">
        <x:f>IF(ISNUMBER(B106),89,"")</x:f>
      </x:c>
      <x:c r="B106" s="89"/>
      <x:c r="C106" s="70" t="str">
        <x:f>IF(AND(ISNUMBER(B105),ISNUMBER(B106)),ABS(B106-B105),"")</x:f>
      </x:c>
      <x:c r="D106" s="67" t="str">
        <x:f>IF(AND(ISNUMBER(B106),$H$12="計算可能"),IF(OR(B106&gt;$H$7,B106&lt;$H$8),"管理外",""),"")</x:f>
      </x:c>
      <x:c r="E106" s="67" t="str">
        <x:f>IF(AND(ISNUMBER(C106),$H$12="計算可能"),IF(OR(C106&gt;$L$7,C106&lt;$L$8),"管理外",""),"")</x:f>
      </x:c>
      <x:c r="F106" s="21"/>
      <x:c r="G106" s="102" t="e">
        <x:f>IF(37&lt;=$H$10,37,NA())</x:f>
        <x:v>#N/A</x:v>
      </x:c>
      <x:c r="H106" s="103" t="e">
        <x:f>IF(AND(ISNUMBER(B54),$H$12="計算可能"),B54,NA())</x:f>
        <x:v>#N/A</x:v>
      </x:c>
      <x:c r="I106" s="103" t="e">
        <x:f>IF(AND(37&lt;=$H$10,$H$12="計算可能"),$H$6,NA())</x:f>
        <x:v>#N/A</x:v>
      </x:c>
      <x:c r="J106" s="103" t="e">
        <x:f>IF(AND(37&lt;=$H$10,$H$12="計算可能"),$H$7,NA())</x:f>
        <x:v>#N/A</x:v>
      </x:c>
      <x:c r="K106" s="103" t="e">
        <x:f>IF(AND(37&lt;=$H$10,$H$12="計算可能"),$H$8,NA())</x:f>
        <x:v>#N/A</x:v>
      </x:c>
      <x:c r="L106" s="102" t="e">
        <x:f>IF(37&lt;=$H$10,37,NA())</x:f>
        <x:v>#N/A</x:v>
      </x:c>
      <x:c r="M106" s="103" t="e">
        <x:f>IF(AND(ISNUMBER(C54),$H$12="計算可能"),C54,NA())</x:f>
        <x:v>#N/A</x:v>
      </x:c>
      <x:c r="N106" s="103" t="e">
        <x:f>IF(AND(37&lt;=$H$10,$H$12="計算可能"),$L$6,NA())</x:f>
        <x:v>#N/A</x:v>
      </x:c>
      <x:c r="O106" s="103" t="e">
        <x:f>IF(AND(37&lt;=$H$10,$H$12="計算可能"),$L$7,NA())</x:f>
        <x:v>#N/A</x:v>
      </x:c>
      <x:c r="P106" s="103" t="e">
        <x:f>IF(AND(37&lt;=$H$10,$H$12="計算可能"),$L$8,NA())</x:f>
        <x:v>#N/A</x:v>
      </x:c>
      <x:c r="Q106" s="21"/>
    </x:row>
    <x:row r="107" ht="21" customHeight="1">
      <x:c r="A107" s="91" t="str">
        <x:f>IF(ISNUMBER(B107),90,"")</x:f>
      </x:c>
      <x:c r="B107" s="89"/>
      <x:c r="C107" s="70" t="str">
        <x:f>IF(AND(ISNUMBER(B106),ISNUMBER(B107)),ABS(B107-B106),"")</x:f>
      </x:c>
      <x:c r="D107" s="67" t="str">
        <x:f>IF(AND(ISNUMBER(B107),$H$12="計算可能"),IF(OR(B107&gt;$H$7,B107&lt;$H$8),"管理外",""),"")</x:f>
      </x:c>
      <x:c r="E107" s="67" t="str">
        <x:f>IF(AND(ISNUMBER(C107),$H$12="計算可能"),IF(OR(C107&gt;$L$7,C107&lt;$L$8),"管理外",""),"")</x:f>
      </x:c>
      <x:c r="F107" s="21"/>
      <x:c r="G107" s="102" t="e">
        <x:f>IF(38&lt;=$H$10,38,NA())</x:f>
        <x:v>#N/A</x:v>
      </x:c>
      <x:c r="H107" s="103" t="e">
        <x:f>IF(AND(ISNUMBER(B55),$H$12="計算可能"),B55,NA())</x:f>
        <x:v>#N/A</x:v>
      </x:c>
      <x:c r="I107" s="103" t="e">
        <x:f>IF(AND(38&lt;=$H$10,$H$12="計算可能"),$H$6,NA())</x:f>
        <x:v>#N/A</x:v>
      </x:c>
      <x:c r="J107" s="103" t="e">
        <x:f>IF(AND(38&lt;=$H$10,$H$12="計算可能"),$H$7,NA())</x:f>
        <x:v>#N/A</x:v>
      </x:c>
      <x:c r="K107" s="103" t="e">
        <x:f>IF(AND(38&lt;=$H$10,$H$12="計算可能"),$H$8,NA())</x:f>
        <x:v>#N/A</x:v>
      </x:c>
      <x:c r="L107" s="102" t="e">
        <x:f>IF(38&lt;=$H$10,38,NA())</x:f>
        <x:v>#N/A</x:v>
      </x:c>
      <x:c r="M107" s="103" t="e">
        <x:f>IF(AND(ISNUMBER(C55),$H$12="計算可能"),C55,NA())</x:f>
        <x:v>#N/A</x:v>
      </x:c>
      <x:c r="N107" s="103" t="e">
        <x:f>IF(AND(38&lt;=$H$10,$H$12="計算可能"),$L$6,NA())</x:f>
        <x:v>#N/A</x:v>
      </x:c>
      <x:c r="O107" s="103" t="e">
        <x:f>IF(AND(38&lt;=$H$10,$H$12="計算可能"),$L$7,NA())</x:f>
        <x:v>#N/A</x:v>
      </x:c>
      <x:c r="P107" s="103" t="e">
        <x:f>IF(AND(38&lt;=$H$10,$H$12="計算可能"),$L$8,NA())</x:f>
        <x:v>#N/A</x:v>
      </x:c>
      <x:c r="Q107" s="21"/>
    </x:row>
    <x:row r="108" ht="21" customHeight="1">
      <x:c r="A108" s="91" t="str">
        <x:f>IF(ISNUMBER(B108),91,"")</x:f>
      </x:c>
      <x:c r="B108" s="89"/>
      <x:c r="C108" s="70" t="str">
        <x:f>IF(AND(ISNUMBER(B107),ISNUMBER(B108)),ABS(B108-B107),"")</x:f>
      </x:c>
      <x:c r="D108" s="67" t="str">
        <x:f>IF(AND(ISNUMBER(B108),$H$12="計算可能"),IF(OR(B108&gt;$H$7,B108&lt;$H$8),"管理外",""),"")</x:f>
      </x:c>
      <x:c r="E108" s="67" t="str">
        <x:f>IF(AND(ISNUMBER(C108),$H$12="計算可能"),IF(OR(C108&gt;$L$7,C108&lt;$L$8),"管理外",""),"")</x:f>
      </x:c>
      <x:c r="F108" s="21"/>
      <x:c r="G108" s="102" t="e">
        <x:f>IF(39&lt;=$H$10,39,NA())</x:f>
        <x:v>#N/A</x:v>
      </x:c>
      <x:c r="H108" s="103" t="e">
        <x:f>IF(AND(ISNUMBER(B56),$H$12="計算可能"),B56,NA())</x:f>
        <x:v>#N/A</x:v>
      </x:c>
      <x:c r="I108" s="103" t="e">
        <x:f>IF(AND(39&lt;=$H$10,$H$12="計算可能"),$H$6,NA())</x:f>
        <x:v>#N/A</x:v>
      </x:c>
      <x:c r="J108" s="103" t="e">
        <x:f>IF(AND(39&lt;=$H$10,$H$12="計算可能"),$H$7,NA())</x:f>
        <x:v>#N/A</x:v>
      </x:c>
      <x:c r="K108" s="103" t="e">
        <x:f>IF(AND(39&lt;=$H$10,$H$12="計算可能"),$H$8,NA())</x:f>
        <x:v>#N/A</x:v>
      </x:c>
      <x:c r="L108" s="102" t="e">
        <x:f>IF(39&lt;=$H$10,39,NA())</x:f>
        <x:v>#N/A</x:v>
      </x:c>
      <x:c r="M108" s="103" t="e">
        <x:f>IF(AND(ISNUMBER(C56),$H$12="計算可能"),C56,NA())</x:f>
        <x:v>#N/A</x:v>
      </x:c>
      <x:c r="N108" s="103" t="e">
        <x:f>IF(AND(39&lt;=$H$10,$H$12="計算可能"),$L$6,NA())</x:f>
        <x:v>#N/A</x:v>
      </x:c>
      <x:c r="O108" s="103" t="e">
        <x:f>IF(AND(39&lt;=$H$10,$H$12="計算可能"),$L$7,NA())</x:f>
        <x:v>#N/A</x:v>
      </x:c>
      <x:c r="P108" s="103" t="e">
        <x:f>IF(AND(39&lt;=$H$10,$H$12="計算可能"),$L$8,NA())</x:f>
        <x:v>#N/A</x:v>
      </x:c>
      <x:c r="Q108" s="21"/>
    </x:row>
    <x:row r="109" ht="21" customHeight="1">
      <x:c r="A109" s="91" t="str">
        <x:f>IF(ISNUMBER(B109),92,"")</x:f>
      </x:c>
      <x:c r="B109" s="89"/>
      <x:c r="C109" s="70" t="str">
        <x:f>IF(AND(ISNUMBER(B108),ISNUMBER(B109)),ABS(B109-B108),"")</x:f>
      </x:c>
      <x:c r="D109" s="67" t="str">
        <x:f>IF(AND(ISNUMBER(B109),$H$12="計算可能"),IF(OR(B109&gt;$H$7,B109&lt;$H$8),"管理外",""),"")</x:f>
      </x:c>
      <x:c r="E109" s="67" t="str">
        <x:f>IF(AND(ISNUMBER(C109),$H$12="計算可能"),IF(OR(C109&gt;$L$7,C109&lt;$L$8),"管理外",""),"")</x:f>
      </x:c>
      <x:c r="F109" s="21"/>
      <x:c r="G109" s="102" t="e">
        <x:f>IF(40&lt;=$H$10,40,NA())</x:f>
        <x:v>#N/A</x:v>
      </x:c>
      <x:c r="H109" s="103" t="e">
        <x:f>IF(AND(ISNUMBER(B57),$H$12="計算可能"),B57,NA())</x:f>
        <x:v>#N/A</x:v>
      </x:c>
      <x:c r="I109" s="103" t="e">
        <x:f>IF(AND(40&lt;=$H$10,$H$12="計算可能"),$H$6,NA())</x:f>
        <x:v>#N/A</x:v>
      </x:c>
      <x:c r="J109" s="103" t="e">
        <x:f>IF(AND(40&lt;=$H$10,$H$12="計算可能"),$H$7,NA())</x:f>
        <x:v>#N/A</x:v>
      </x:c>
      <x:c r="K109" s="103" t="e">
        <x:f>IF(AND(40&lt;=$H$10,$H$12="計算可能"),$H$8,NA())</x:f>
        <x:v>#N/A</x:v>
      </x:c>
      <x:c r="L109" s="102" t="e">
        <x:f>IF(40&lt;=$H$10,40,NA())</x:f>
        <x:v>#N/A</x:v>
      </x:c>
      <x:c r="M109" s="103" t="e">
        <x:f>IF(AND(ISNUMBER(C57),$H$12="計算可能"),C57,NA())</x:f>
        <x:v>#N/A</x:v>
      </x:c>
      <x:c r="N109" s="103" t="e">
        <x:f>IF(AND(40&lt;=$H$10,$H$12="計算可能"),$L$6,NA())</x:f>
        <x:v>#N/A</x:v>
      </x:c>
      <x:c r="O109" s="103" t="e">
        <x:f>IF(AND(40&lt;=$H$10,$H$12="計算可能"),$L$7,NA())</x:f>
        <x:v>#N/A</x:v>
      </x:c>
      <x:c r="P109" s="103" t="e">
        <x:f>IF(AND(40&lt;=$H$10,$H$12="計算可能"),$L$8,NA())</x:f>
        <x:v>#N/A</x:v>
      </x:c>
      <x:c r="Q109" s="21"/>
    </x:row>
    <x:row r="110" ht="21" customHeight="1">
      <x:c r="A110" s="91" t="str">
        <x:f>IF(ISNUMBER(B110),93,"")</x:f>
      </x:c>
      <x:c r="B110" s="89"/>
      <x:c r="C110" s="70" t="str">
        <x:f>IF(AND(ISNUMBER(B109),ISNUMBER(B110)),ABS(B110-B109),"")</x:f>
      </x:c>
      <x:c r="D110" s="67" t="str">
        <x:f>IF(AND(ISNUMBER(B110),$H$12="計算可能"),IF(OR(B110&gt;$H$7,B110&lt;$H$8),"管理外",""),"")</x:f>
      </x:c>
      <x:c r="E110" s="67" t="str">
        <x:f>IF(AND(ISNUMBER(C110),$H$12="計算可能"),IF(OR(C110&gt;$L$7,C110&lt;$L$8),"管理外",""),"")</x:f>
      </x:c>
      <x:c r="F110" s="21"/>
      <x:c r="G110" s="102" t="e">
        <x:f>IF(41&lt;=$H$10,41,NA())</x:f>
        <x:v>#N/A</x:v>
      </x:c>
      <x:c r="H110" s="103" t="e">
        <x:f>IF(AND(ISNUMBER(B58),$H$12="計算可能"),B58,NA())</x:f>
        <x:v>#N/A</x:v>
      </x:c>
      <x:c r="I110" s="103" t="e">
        <x:f>IF(AND(41&lt;=$H$10,$H$12="計算可能"),$H$6,NA())</x:f>
        <x:v>#N/A</x:v>
      </x:c>
      <x:c r="J110" s="103" t="e">
        <x:f>IF(AND(41&lt;=$H$10,$H$12="計算可能"),$H$7,NA())</x:f>
        <x:v>#N/A</x:v>
      </x:c>
      <x:c r="K110" s="103" t="e">
        <x:f>IF(AND(41&lt;=$H$10,$H$12="計算可能"),$H$8,NA())</x:f>
        <x:v>#N/A</x:v>
      </x:c>
      <x:c r="L110" s="102" t="e">
        <x:f>IF(41&lt;=$H$10,41,NA())</x:f>
        <x:v>#N/A</x:v>
      </x:c>
      <x:c r="M110" s="103" t="e">
        <x:f>IF(AND(ISNUMBER(C58),$H$12="計算可能"),C58,NA())</x:f>
        <x:v>#N/A</x:v>
      </x:c>
      <x:c r="N110" s="103" t="e">
        <x:f>IF(AND(41&lt;=$H$10,$H$12="計算可能"),$L$6,NA())</x:f>
        <x:v>#N/A</x:v>
      </x:c>
      <x:c r="O110" s="103" t="e">
        <x:f>IF(AND(41&lt;=$H$10,$H$12="計算可能"),$L$7,NA())</x:f>
        <x:v>#N/A</x:v>
      </x:c>
      <x:c r="P110" s="103" t="e">
        <x:f>IF(AND(41&lt;=$H$10,$H$12="計算可能"),$L$8,NA())</x:f>
        <x:v>#N/A</x:v>
      </x:c>
      <x:c r="Q110" s="21"/>
    </x:row>
    <x:row r="111" ht="21" customHeight="1">
      <x:c r="A111" s="91" t="str">
        <x:f>IF(ISNUMBER(B111),94,"")</x:f>
      </x:c>
      <x:c r="B111" s="89"/>
      <x:c r="C111" s="70" t="str">
        <x:f>IF(AND(ISNUMBER(B110),ISNUMBER(B111)),ABS(B111-B110),"")</x:f>
      </x:c>
      <x:c r="D111" s="67" t="str">
        <x:f>IF(AND(ISNUMBER(B111),$H$12="計算可能"),IF(OR(B111&gt;$H$7,B111&lt;$H$8),"管理外",""),"")</x:f>
      </x:c>
      <x:c r="E111" s="67" t="str">
        <x:f>IF(AND(ISNUMBER(C111),$H$12="計算可能"),IF(OR(C111&gt;$L$7,C111&lt;$L$8),"管理外",""),"")</x:f>
      </x:c>
      <x:c r="F111" s="21"/>
      <x:c r="G111" s="102" t="e">
        <x:f>IF(42&lt;=$H$10,42,NA())</x:f>
        <x:v>#N/A</x:v>
      </x:c>
      <x:c r="H111" s="103" t="e">
        <x:f>IF(AND(ISNUMBER(B59),$H$12="計算可能"),B59,NA())</x:f>
        <x:v>#N/A</x:v>
      </x:c>
      <x:c r="I111" s="103" t="e">
        <x:f>IF(AND(42&lt;=$H$10,$H$12="計算可能"),$H$6,NA())</x:f>
        <x:v>#N/A</x:v>
      </x:c>
      <x:c r="J111" s="103" t="e">
        <x:f>IF(AND(42&lt;=$H$10,$H$12="計算可能"),$H$7,NA())</x:f>
        <x:v>#N/A</x:v>
      </x:c>
      <x:c r="K111" s="103" t="e">
        <x:f>IF(AND(42&lt;=$H$10,$H$12="計算可能"),$H$8,NA())</x:f>
        <x:v>#N/A</x:v>
      </x:c>
      <x:c r="L111" s="102" t="e">
        <x:f>IF(42&lt;=$H$10,42,NA())</x:f>
        <x:v>#N/A</x:v>
      </x:c>
      <x:c r="M111" s="103" t="e">
        <x:f>IF(AND(ISNUMBER(C59),$H$12="計算可能"),C59,NA())</x:f>
        <x:v>#N/A</x:v>
      </x:c>
      <x:c r="N111" s="103" t="e">
        <x:f>IF(AND(42&lt;=$H$10,$H$12="計算可能"),$L$6,NA())</x:f>
        <x:v>#N/A</x:v>
      </x:c>
      <x:c r="O111" s="103" t="e">
        <x:f>IF(AND(42&lt;=$H$10,$H$12="計算可能"),$L$7,NA())</x:f>
        <x:v>#N/A</x:v>
      </x:c>
      <x:c r="P111" s="103" t="e">
        <x:f>IF(AND(42&lt;=$H$10,$H$12="計算可能"),$L$8,NA())</x:f>
        <x:v>#N/A</x:v>
      </x:c>
      <x:c r="Q111" s="21"/>
    </x:row>
    <x:row r="112" ht="21" customHeight="1">
      <x:c r="A112" s="91" t="str">
        <x:f>IF(ISNUMBER(B112),95,"")</x:f>
      </x:c>
      <x:c r="B112" s="89"/>
      <x:c r="C112" s="70" t="str">
        <x:f>IF(AND(ISNUMBER(B111),ISNUMBER(B112)),ABS(B112-B111),"")</x:f>
      </x:c>
      <x:c r="D112" s="67" t="str">
        <x:f>IF(AND(ISNUMBER(B112),$H$12="計算可能"),IF(OR(B112&gt;$H$7,B112&lt;$H$8),"管理外",""),"")</x:f>
      </x:c>
      <x:c r="E112" s="67" t="str">
        <x:f>IF(AND(ISNUMBER(C112),$H$12="計算可能"),IF(OR(C112&gt;$L$7,C112&lt;$L$8),"管理外",""),"")</x:f>
      </x:c>
      <x:c r="F112" s="21"/>
      <x:c r="G112" s="102" t="e">
        <x:f>IF(43&lt;=$H$10,43,NA())</x:f>
        <x:v>#N/A</x:v>
      </x:c>
      <x:c r="H112" s="103" t="e">
        <x:f>IF(AND(ISNUMBER(B60),$H$12="計算可能"),B60,NA())</x:f>
        <x:v>#N/A</x:v>
      </x:c>
      <x:c r="I112" s="103" t="e">
        <x:f>IF(AND(43&lt;=$H$10,$H$12="計算可能"),$H$6,NA())</x:f>
        <x:v>#N/A</x:v>
      </x:c>
      <x:c r="J112" s="103" t="e">
        <x:f>IF(AND(43&lt;=$H$10,$H$12="計算可能"),$H$7,NA())</x:f>
        <x:v>#N/A</x:v>
      </x:c>
      <x:c r="K112" s="103" t="e">
        <x:f>IF(AND(43&lt;=$H$10,$H$12="計算可能"),$H$8,NA())</x:f>
        <x:v>#N/A</x:v>
      </x:c>
      <x:c r="L112" s="102" t="e">
        <x:f>IF(43&lt;=$H$10,43,NA())</x:f>
        <x:v>#N/A</x:v>
      </x:c>
      <x:c r="M112" s="103" t="e">
        <x:f>IF(AND(ISNUMBER(C60),$H$12="計算可能"),C60,NA())</x:f>
        <x:v>#N/A</x:v>
      </x:c>
      <x:c r="N112" s="103" t="e">
        <x:f>IF(AND(43&lt;=$H$10,$H$12="計算可能"),$L$6,NA())</x:f>
        <x:v>#N/A</x:v>
      </x:c>
      <x:c r="O112" s="103" t="e">
        <x:f>IF(AND(43&lt;=$H$10,$H$12="計算可能"),$L$7,NA())</x:f>
        <x:v>#N/A</x:v>
      </x:c>
      <x:c r="P112" s="103" t="e">
        <x:f>IF(AND(43&lt;=$H$10,$H$12="計算可能"),$L$8,NA())</x:f>
        <x:v>#N/A</x:v>
      </x:c>
      <x:c r="Q112" s="21"/>
    </x:row>
    <x:row r="113" ht="21" customHeight="1">
      <x:c r="A113" s="91" t="str">
        <x:f>IF(ISNUMBER(B113),96,"")</x:f>
      </x:c>
      <x:c r="B113" s="89"/>
      <x:c r="C113" s="70" t="str">
        <x:f>IF(AND(ISNUMBER(B112),ISNUMBER(B113)),ABS(B113-B112),"")</x:f>
      </x:c>
      <x:c r="D113" s="67" t="str">
        <x:f>IF(AND(ISNUMBER(B113),$H$12="計算可能"),IF(OR(B113&gt;$H$7,B113&lt;$H$8),"管理外",""),"")</x:f>
      </x:c>
      <x:c r="E113" s="67" t="str">
        <x:f>IF(AND(ISNUMBER(C113),$H$12="計算可能"),IF(OR(C113&gt;$L$7,C113&lt;$L$8),"管理外",""),"")</x:f>
      </x:c>
      <x:c r="F113" s="21"/>
      <x:c r="G113" s="102" t="e">
        <x:f>IF(44&lt;=$H$10,44,NA())</x:f>
        <x:v>#N/A</x:v>
      </x:c>
      <x:c r="H113" s="103" t="e">
        <x:f>IF(AND(ISNUMBER(B61),$H$12="計算可能"),B61,NA())</x:f>
        <x:v>#N/A</x:v>
      </x:c>
      <x:c r="I113" s="103" t="e">
        <x:f>IF(AND(44&lt;=$H$10,$H$12="計算可能"),$H$6,NA())</x:f>
        <x:v>#N/A</x:v>
      </x:c>
      <x:c r="J113" s="103" t="e">
        <x:f>IF(AND(44&lt;=$H$10,$H$12="計算可能"),$H$7,NA())</x:f>
        <x:v>#N/A</x:v>
      </x:c>
      <x:c r="K113" s="103" t="e">
        <x:f>IF(AND(44&lt;=$H$10,$H$12="計算可能"),$H$8,NA())</x:f>
        <x:v>#N/A</x:v>
      </x:c>
      <x:c r="L113" s="102" t="e">
        <x:f>IF(44&lt;=$H$10,44,NA())</x:f>
        <x:v>#N/A</x:v>
      </x:c>
      <x:c r="M113" s="103" t="e">
        <x:f>IF(AND(ISNUMBER(C61),$H$12="計算可能"),C61,NA())</x:f>
        <x:v>#N/A</x:v>
      </x:c>
      <x:c r="N113" s="103" t="e">
        <x:f>IF(AND(44&lt;=$H$10,$H$12="計算可能"),$L$6,NA())</x:f>
        <x:v>#N/A</x:v>
      </x:c>
      <x:c r="O113" s="103" t="e">
        <x:f>IF(AND(44&lt;=$H$10,$H$12="計算可能"),$L$7,NA())</x:f>
        <x:v>#N/A</x:v>
      </x:c>
      <x:c r="P113" s="103" t="e">
        <x:f>IF(AND(44&lt;=$H$10,$H$12="計算可能"),$L$8,NA())</x:f>
        <x:v>#N/A</x:v>
      </x:c>
      <x:c r="Q113" s="21"/>
    </x:row>
    <x:row r="114" ht="21" customHeight="1">
      <x:c r="A114" s="91" t="str">
        <x:f>IF(ISNUMBER(B114),97,"")</x:f>
      </x:c>
      <x:c r="B114" s="89"/>
      <x:c r="C114" s="70" t="str">
        <x:f>IF(AND(ISNUMBER(B113),ISNUMBER(B114)),ABS(B114-B113),"")</x:f>
      </x:c>
      <x:c r="D114" s="67" t="str">
        <x:f>IF(AND(ISNUMBER(B114),$H$12="計算可能"),IF(OR(B114&gt;$H$7,B114&lt;$H$8),"管理外",""),"")</x:f>
      </x:c>
      <x:c r="E114" s="67" t="str">
        <x:f>IF(AND(ISNUMBER(C114),$H$12="計算可能"),IF(OR(C114&gt;$L$7,C114&lt;$L$8),"管理外",""),"")</x:f>
      </x:c>
      <x:c r="F114" s="21"/>
      <x:c r="G114" s="102" t="e">
        <x:f>IF(45&lt;=$H$10,45,NA())</x:f>
        <x:v>#N/A</x:v>
      </x:c>
      <x:c r="H114" s="103" t="e">
        <x:f>IF(AND(ISNUMBER(B62),$H$12="計算可能"),B62,NA())</x:f>
        <x:v>#N/A</x:v>
      </x:c>
      <x:c r="I114" s="103" t="e">
        <x:f>IF(AND(45&lt;=$H$10,$H$12="計算可能"),$H$6,NA())</x:f>
        <x:v>#N/A</x:v>
      </x:c>
      <x:c r="J114" s="103" t="e">
        <x:f>IF(AND(45&lt;=$H$10,$H$12="計算可能"),$H$7,NA())</x:f>
        <x:v>#N/A</x:v>
      </x:c>
      <x:c r="K114" s="103" t="e">
        <x:f>IF(AND(45&lt;=$H$10,$H$12="計算可能"),$H$8,NA())</x:f>
        <x:v>#N/A</x:v>
      </x:c>
      <x:c r="L114" s="102" t="e">
        <x:f>IF(45&lt;=$H$10,45,NA())</x:f>
        <x:v>#N/A</x:v>
      </x:c>
      <x:c r="M114" s="103" t="e">
        <x:f>IF(AND(ISNUMBER(C62),$H$12="計算可能"),C62,NA())</x:f>
        <x:v>#N/A</x:v>
      </x:c>
      <x:c r="N114" s="103" t="e">
        <x:f>IF(AND(45&lt;=$H$10,$H$12="計算可能"),$L$6,NA())</x:f>
        <x:v>#N/A</x:v>
      </x:c>
      <x:c r="O114" s="103" t="e">
        <x:f>IF(AND(45&lt;=$H$10,$H$12="計算可能"),$L$7,NA())</x:f>
        <x:v>#N/A</x:v>
      </x:c>
      <x:c r="P114" s="103" t="e">
        <x:f>IF(AND(45&lt;=$H$10,$H$12="計算可能"),$L$8,NA())</x:f>
        <x:v>#N/A</x:v>
      </x:c>
      <x:c r="Q114" s="21"/>
    </x:row>
    <x:row r="115" ht="21" customHeight="1">
      <x:c r="A115" s="91" t="str">
        <x:f>IF(ISNUMBER(B115),98,"")</x:f>
      </x:c>
      <x:c r="B115" s="89"/>
      <x:c r="C115" s="70" t="str">
        <x:f>IF(AND(ISNUMBER(B114),ISNUMBER(B115)),ABS(B115-B114),"")</x:f>
      </x:c>
      <x:c r="D115" s="67" t="str">
        <x:f>IF(AND(ISNUMBER(B115),$H$12="計算可能"),IF(OR(B115&gt;$H$7,B115&lt;$H$8),"管理外",""),"")</x:f>
      </x:c>
      <x:c r="E115" s="67" t="str">
        <x:f>IF(AND(ISNUMBER(C115),$H$12="計算可能"),IF(OR(C115&gt;$L$7,C115&lt;$L$8),"管理外",""),"")</x:f>
      </x:c>
      <x:c r="F115" s="21"/>
      <x:c r="G115" s="102" t="e">
        <x:f>IF(46&lt;=$H$10,46,NA())</x:f>
        <x:v>#N/A</x:v>
      </x:c>
      <x:c r="H115" s="103" t="e">
        <x:f>IF(AND(ISNUMBER(B63),$H$12="計算可能"),B63,NA())</x:f>
        <x:v>#N/A</x:v>
      </x:c>
      <x:c r="I115" s="103" t="e">
        <x:f>IF(AND(46&lt;=$H$10,$H$12="計算可能"),$H$6,NA())</x:f>
        <x:v>#N/A</x:v>
      </x:c>
      <x:c r="J115" s="103" t="e">
        <x:f>IF(AND(46&lt;=$H$10,$H$12="計算可能"),$H$7,NA())</x:f>
        <x:v>#N/A</x:v>
      </x:c>
      <x:c r="K115" s="103" t="e">
        <x:f>IF(AND(46&lt;=$H$10,$H$12="計算可能"),$H$8,NA())</x:f>
        <x:v>#N/A</x:v>
      </x:c>
      <x:c r="L115" s="102" t="e">
        <x:f>IF(46&lt;=$H$10,46,NA())</x:f>
        <x:v>#N/A</x:v>
      </x:c>
      <x:c r="M115" s="103" t="e">
        <x:f>IF(AND(ISNUMBER(C63),$H$12="計算可能"),C63,NA())</x:f>
        <x:v>#N/A</x:v>
      </x:c>
      <x:c r="N115" s="103" t="e">
        <x:f>IF(AND(46&lt;=$H$10,$H$12="計算可能"),$L$6,NA())</x:f>
        <x:v>#N/A</x:v>
      </x:c>
      <x:c r="O115" s="103" t="e">
        <x:f>IF(AND(46&lt;=$H$10,$H$12="計算可能"),$L$7,NA())</x:f>
        <x:v>#N/A</x:v>
      </x:c>
      <x:c r="P115" s="103" t="e">
        <x:f>IF(AND(46&lt;=$H$10,$H$12="計算可能"),$L$8,NA())</x:f>
        <x:v>#N/A</x:v>
      </x:c>
      <x:c r="Q115" s="21"/>
    </x:row>
    <x:row r="116" ht="21" customHeight="1">
      <x:c r="A116" s="91" t="str">
        <x:f>IF(ISNUMBER(B116),99,"")</x:f>
      </x:c>
      <x:c r="B116" s="89"/>
      <x:c r="C116" s="70" t="str">
        <x:f>IF(AND(ISNUMBER(B115),ISNUMBER(B116)),ABS(B116-B115),"")</x:f>
      </x:c>
      <x:c r="D116" s="67" t="str">
        <x:f>IF(AND(ISNUMBER(B116),$H$12="計算可能"),IF(OR(B116&gt;$H$7,B116&lt;$H$8),"管理外",""),"")</x:f>
      </x:c>
      <x:c r="E116" s="67" t="str">
        <x:f>IF(AND(ISNUMBER(C116),$H$12="計算可能"),IF(OR(C116&gt;$L$7,C116&lt;$L$8),"管理外",""),"")</x:f>
      </x:c>
      <x:c r="F116" s="21"/>
      <x:c r="G116" s="102" t="e">
        <x:f>IF(47&lt;=$H$10,47,NA())</x:f>
        <x:v>#N/A</x:v>
      </x:c>
      <x:c r="H116" s="103" t="e">
        <x:f>IF(AND(ISNUMBER(B64),$H$12="計算可能"),B64,NA())</x:f>
        <x:v>#N/A</x:v>
      </x:c>
      <x:c r="I116" s="103" t="e">
        <x:f>IF(AND(47&lt;=$H$10,$H$12="計算可能"),$H$6,NA())</x:f>
        <x:v>#N/A</x:v>
      </x:c>
      <x:c r="J116" s="103" t="e">
        <x:f>IF(AND(47&lt;=$H$10,$H$12="計算可能"),$H$7,NA())</x:f>
        <x:v>#N/A</x:v>
      </x:c>
      <x:c r="K116" s="103" t="e">
        <x:f>IF(AND(47&lt;=$H$10,$H$12="計算可能"),$H$8,NA())</x:f>
        <x:v>#N/A</x:v>
      </x:c>
      <x:c r="L116" s="102" t="e">
        <x:f>IF(47&lt;=$H$10,47,NA())</x:f>
        <x:v>#N/A</x:v>
      </x:c>
      <x:c r="M116" s="103" t="e">
        <x:f>IF(AND(ISNUMBER(C64),$H$12="計算可能"),C64,NA())</x:f>
        <x:v>#N/A</x:v>
      </x:c>
      <x:c r="N116" s="103" t="e">
        <x:f>IF(AND(47&lt;=$H$10,$H$12="計算可能"),$L$6,NA())</x:f>
        <x:v>#N/A</x:v>
      </x:c>
      <x:c r="O116" s="103" t="e">
        <x:f>IF(AND(47&lt;=$H$10,$H$12="計算可能"),$L$7,NA())</x:f>
        <x:v>#N/A</x:v>
      </x:c>
      <x:c r="P116" s="103" t="e">
        <x:f>IF(AND(47&lt;=$H$10,$H$12="計算可能"),$L$8,NA())</x:f>
        <x:v>#N/A</x:v>
      </x:c>
      <x:c r="Q116" s="21"/>
    </x:row>
    <x:row r="117" ht="21" customHeight="1">
      <x:c r="A117" s="91" t="str">
        <x:f>IF(ISNUMBER(B117),100,"")</x:f>
      </x:c>
      <x:c r="B117" s="89"/>
      <x:c r="C117" s="70" t="str">
        <x:f>IF(AND(ISNUMBER(B116),ISNUMBER(B117)),ABS(B117-B116),"")</x:f>
      </x:c>
      <x:c r="D117" s="67" t="str">
        <x:f>IF(AND(ISNUMBER(B117),$H$12="計算可能"),IF(OR(B117&gt;$H$7,B117&lt;$H$8),"管理外",""),"")</x:f>
      </x:c>
      <x:c r="E117" s="67" t="str">
        <x:f>IF(AND(ISNUMBER(C117),$H$12="計算可能"),IF(OR(C117&gt;$L$7,C117&lt;$L$8),"管理外",""),"")</x:f>
      </x:c>
      <x:c r="F117" s="21"/>
      <x:c r="G117" s="102" t="e">
        <x:f>IF(48&lt;=$H$10,48,NA())</x:f>
        <x:v>#N/A</x:v>
      </x:c>
      <x:c r="H117" s="103" t="e">
        <x:f>IF(AND(ISNUMBER(B65),$H$12="計算可能"),B65,NA())</x:f>
        <x:v>#N/A</x:v>
      </x:c>
      <x:c r="I117" s="103" t="e">
        <x:f>IF(AND(48&lt;=$H$10,$H$12="計算可能"),$H$6,NA())</x:f>
        <x:v>#N/A</x:v>
      </x:c>
      <x:c r="J117" s="103" t="e">
        <x:f>IF(AND(48&lt;=$H$10,$H$12="計算可能"),$H$7,NA())</x:f>
        <x:v>#N/A</x:v>
      </x:c>
      <x:c r="K117" s="103" t="e">
        <x:f>IF(AND(48&lt;=$H$10,$H$12="計算可能"),$H$8,NA())</x:f>
        <x:v>#N/A</x:v>
      </x:c>
      <x:c r="L117" s="102" t="e">
        <x:f>IF(48&lt;=$H$10,48,NA())</x:f>
        <x:v>#N/A</x:v>
      </x:c>
      <x:c r="M117" s="103" t="e">
        <x:f>IF(AND(ISNUMBER(C65),$H$12="計算可能"),C65,NA())</x:f>
        <x:v>#N/A</x:v>
      </x:c>
      <x:c r="N117" s="103" t="e">
        <x:f>IF(AND(48&lt;=$H$10,$H$12="計算可能"),$L$6,NA())</x:f>
        <x:v>#N/A</x:v>
      </x:c>
      <x:c r="O117" s="103" t="e">
        <x:f>IF(AND(48&lt;=$H$10,$H$12="計算可能"),$L$7,NA())</x:f>
        <x:v>#N/A</x:v>
      </x:c>
      <x:c r="P117" s="103" t="e">
        <x:f>IF(AND(48&lt;=$H$10,$H$12="計算可能"),$L$8,NA())</x:f>
        <x:v>#N/A</x:v>
      </x:c>
      <x:c r="Q117" s="21"/>
    </x:row>
    <x:row r="118" ht="21" customHeight="1">
      <x:c r="A118" s="91" t="str">
        <x:f>IF(ISNUMBER(B118),101,"")</x:f>
      </x:c>
      <x:c r="B118" s="89"/>
      <x:c r="C118" s="70" t="str">
        <x:f>IF(AND(ISNUMBER(B117),ISNUMBER(B118)),ABS(B118-B117),"")</x:f>
      </x:c>
      <x:c r="D118" s="67" t="str">
        <x:f>IF(AND(ISNUMBER(B118),$H$12="計算可能"),IF(OR(B118&gt;$H$7,B118&lt;$H$8),"管理外",""),"")</x:f>
      </x:c>
      <x:c r="E118" s="67" t="str">
        <x:f>IF(AND(ISNUMBER(C118),$H$12="計算可能"),IF(OR(C118&gt;$L$7,C118&lt;$L$8),"管理外",""),"")</x:f>
      </x:c>
      <x:c r="F118" s="21"/>
      <x:c r="G118" s="102" t="e">
        <x:f>IF(49&lt;=$H$10,49,NA())</x:f>
        <x:v>#N/A</x:v>
      </x:c>
      <x:c r="H118" s="103" t="e">
        <x:f>IF(AND(ISNUMBER(B66),$H$12="計算可能"),B66,NA())</x:f>
        <x:v>#N/A</x:v>
      </x:c>
      <x:c r="I118" s="103" t="e">
        <x:f>IF(AND(49&lt;=$H$10,$H$12="計算可能"),$H$6,NA())</x:f>
        <x:v>#N/A</x:v>
      </x:c>
      <x:c r="J118" s="103" t="e">
        <x:f>IF(AND(49&lt;=$H$10,$H$12="計算可能"),$H$7,NA())</x:f>
        <x:v>#N/A</x:v>
      </x:c>
      <x:c r="K118" s="103" t="e">
        <x:f>IF(AND(49&lt;=$H$10,$H$12="計算可能"),$H$8,NA())</x:f>
        <x:v>#N/A</x:v>
      </x:c>
      <x:c r="L118" s="102" t="e">
        <x:f>IF(49&lt;=$H$10,49,NA())</x:f>
        <x:v>#N/A</x:v>
      </x:c>
      <x:c r="M118" s="103" t="e">
        <x:f>IF(AND(ISNUMBER(C66),$H$12="計算可能"),C66,NA())</x:f>
        <x:v>#N/A</x:v>
      </x:c>
      <x:c r="N118" s="103" t="e">
        <x:f>IF(AND(49&lt;=$H$10,$H$12="計算可能"),$L$6,NA())</x:f>
        <x:v>#N/A</x:v>
      </x:c>
      <x:c r="O118" s="103" t="e">
        <x:f>IF(AND(49&lt;=$H$10,$H$12="計算可能"),$L$7,NA())</x:f>
        <x:v>#N/A</x:v>
      </x:c>
      <x:c r="P118" s="103" t="e">
        <x:f>IF(AND(49&lt;=$H$10,$H$12="計算可能"),$L$8,NA())</x:f>
        <x:v>#N/A</x:v>
      </x:c>
      <x:c r="Q118" s="21"/>
    </x:row>
    <x:row r="119" ht="21" customHeight="1">
      <x:c r="A119" s="91" t="str">
        <x:f>IF(ISNUMBER(B119),102,"")</x:f>
      </x:c>
      <x:c r="B119" s="89"/>
      <x:c r="C119" s="70" t="str">
        <x:f>IF(AND(ISNUMBER(B118),ISNUMBER(B119)),ABS(B119-B118),"")</x:f>
      </x:c>
      <x:c r="D119" s="67" t="str">
        <x:f>IF(AND(ISNUMBER(B119),$H$12="計算可能"),IF(OR(B119&gt;$H$7,B119&lt;$H$8),"管理外",""),"")</x:f>
      </x:c>
      <x:c r="E119" s="67" t="str">
        <x:f>IF(AND(ISNUMBER(C119),$H$12="計算可能"),IF(OR(C119&gt;$L$7,C119&lt;$L$8),"管理外",""),"")</x:f>
      </x:c>
      <x:c r="F119" s="21"/>
      <x:c r="G119" s="102" t="e">
        <x:f>IF(50&lt;=$H$10,50,NA())</x:f>
        <x:v>#N/A</x:v>
      </x:c>
      <x:c r="H119" s="103" t="e">
        <x:f>IF(AND(ISNUMBER(B67),$H$12="計算可能"),B67,NA())</x:f>
        <x:v>#N/A</x:v>
      </x:c>
      <x:c r="I119" s="103" t="e">
        <x:f>IF(AND(50&lt;=$H$10,$H$12="計算可能"),$H$6,NA())</x:f>
        <x:v>#N/A</x:v>
      </x:c>
      <x:c r="J119" s="103" t="e">
        <x:f>IF(AND(50&lt;=$H$10,$H$12="計算可能"),$H$7,NA())</x:f>
        <x:v>#N/A</x:v>
      </x:c>
      <x:c r="K119" s="103" t="e">
        <x:f>IF(AND(50&lt;=$H$10,$H$12="計算可能"),$H$8,NA())</x:f>
        <x:v>#N/A</x:v>
      </x:c>
      <x:c r="L119" s="102" t="e">
        <x:f>IF(50&lt;=$H$10,50,NA())</x:f>
        <x:v>#N/A</x:v>
      </x:c>
      <x:c r="M119" s="103" t="e">
        <x:f>IF(AND(ISNUMBER(C67),$H$12="計算可能"),C67,NA())</x:f>
        <x:v>#N/A</x:v>
      </x:c>
      <x:c r="N119" s="103" t="e">
        <x:f>IF(AND(50&lt;=$H$10,$H$12="計算可能"),$L$6,NA())</x:f>
        <x:v>#N/A</x:v>
      </x:c>
      <x:c r="O119" s="103" t="e">
        <x:f>IF(AND(50&lt;=$H$10,$H$12="計算可能"),$L$7,NA())</x:f>
        <x:v>#N/A</x:v>
      </x:c>
      <x:c r="P119" s="103" t="e">
        <x:f>IF(AND(50&lt;=$H$10,$H$12="計算可能"),$L$8,NA())</x:f>
        <x:v>#N/A</x:v>
      </x:c>
      <x:c r="Q119" s="21"/>
    </x:row>
    <x:row r="120" ht="21" customHeight="1">
      <x:c r="A120" s="91" t="str">
        <x:f>IF(ISNUMBER(B120),103,"")</x:f>
      </x:c>
      <x:c r="B120" s="89"/>
      <x:c r="C120" s="70" t="str">
        <x:f>IF(AND(ISNUMBER(B119),ISNUMBER(B120)),ABS(B120-B119),"")</x:f>
      </x:c>
      <x:c r="D120" s="67" t="str">
        <x:f>IF(AND(ISNUMBER(B120),$H$12="計算可能"),IF(OR(B120&gt;$H$7,B120&lt;$H$8),"管理外",""),"")</x:f>
      </x:c>
      <x:c r="E120" s="67" t="str">
        <x:f>IF(AND(ISNUMBER(C120),$H$12="計算可能"),IF(OR(C120&gt;$L$7,C120&lt;$L$8),"管理外",""),"")</x:f>
      </x:c>
      <x:c r="F120" s="21"/>
      <x:c r="G120" s="102" t="e">
        <x:f>IF(51&lt;=$H$10,51,NA())</x:f>
        <x:v>#N/A</x:v>
      </x:c>
      <x:c r="H120" s="103" t="e">
        <x:f>IF(AND(ISNUMBER(B68),$H$12="計算可能"),B68,NA())</x:f>
        <x:v>#N/A</x:v>
      </x:c>
      <x:c r="I120" s="103" t="e">
        <x:f>IF(AND(51&lt;=$H$10,$H$12="計算可能"),$H$6,NA())</x:f>
        <x:v>#N/A</x:v>
      </x:c>
      <x:c r="J120" s="103" t="e">
        <x:f>IF(AND(51&lt;=$H$10,$H$12="計算可能"),$H$7,NA())</x:f>
        <x:v>#N/A</x:v>
      </x:c>
      <x:c r="K120" s="103" t="e">
        <x:f>IF(AND(51&lt;=$H$10,$H$12="計算可能"),$H$8,NA())</x:f>
        <x:v>#N/A</x:v>
      </x:c>
      <x:c r="L120" s="102" t="e">
        <x:f>IF(51&lt;=$H$10,51,NA())</x:f>
        <x:v>#N/A</x:v>
      </x:c>
      <x:c r="M120" s="103" t="e">
        <x:f>IF(AND(ISNUMBER(C68),$H$12="計算可能"),C68,NA())</x:f>
        <x:v>#N/A</x:v>
      </x:c>
      <x:c r="N120" s="103" t="e">
        <x:f>IF(AND(51&lt;=$H$10,$H$12="計算可能"),$L$6,NA())</x:f>
        <x:v>#N/A</x:v>
      </x:c>
      <x:c r="O120" s="103" t="e">
        <x:f>IF(AND(51&lt;=$H$10,$H$12="計算可能"),$L$7,NA())</x:f>
        <x:v>#N/A</x:v>
      </x:c>
      <x:c r="P120" s="103" t="e">
        <x:f>IF(AND(51&lt;=$H$10,$H$12="計算可能"),$L$8,NA())</x:f>
        <x:v>#N/A</x:v>
      </x:c>
      <x:c r="Q120" s="21"/>
    </x:row>
    <x:row r="121" ht="21" customHeight="1">
      <x:c r="A121" s="91" t="str">
        <x:f>IF(ISNUMBER(B121),104,"")</x:f>
      </x:c>
      <x:c r="B121" s="89"/>
      <x:c r="C121" s="70" t="str">
        <x:f>IF(AND(ISNUMBER(B120),ISNUMBER(B121)),ABS(B121-B120),"")</x:f>
      </x:c>
      <x:c r="D121" s="67" t="str">
        <x:f>IF(AND(ISNUMBER(B121),$H$12="計算可能"),IF(OR(B121&gt;$H$7,B121&lt;$H$8),"管理外",""),"")</x:f>
      </x:c>
      <x:c r="E121" s="67" t="str">
        <x:f>IF(AND(ISNUMBER(C121),$H$12="計算可能"),IF(OR(C121&gt;$L$7,C121&lt;$L$8),"管理外",""),"")</x:f>
      </x:c>
      <x:c r="F121" s="21"/>
      <x:c r="G121" s="102" t="e">
        <x:f>IF(52&lt;=$H$10,52,NA())</x:f>
        <x:v>#N/A</x:v>
      </x:c>
      <x:c r="H121" s="103" t="e">
        <x:f>IF(AND(ISNUMBER(B69),$H$12="計算可能"),B69,NA())</x:f>
        <x:v>#N/A</x:v>
      </x:c>
      <x:c r="I121" s="103" t="e">
        <x:f>IF(AND(52&lt;=$H$10,$H$12="計算可能"),$H$6,NA())</x:f>
        <x:v>#N/A</x:v>
      </x:c>
      <x:c r="J121" s="103" t="e">
        <x:f>IF(AND(52&lt;=$H$10,$H$12="計算可能"),$H$7,NA())</x:f>
        <x:v>#N/A</x:v>
      </x:c>
      <x:c r="K121" s="103" t="e">
        <x:f>IF(AND(52&lt;=$H$10,$H$12="計算可能"),$H$8,NA())</x:f>
        <x:v>#N/A</x:v>
      </x:c>
      <x:c r="L121" s="102" t="e">
        <x:f>IF(52&lt;=$H$10,52,NA())</x:f>
        <x:v>#N/A</x:v>
      </x:c>
      <x:c r="M121" s="103" t="e">
        <x:f>IF(AND(ISNUMBER(C69),$H$12="計算可能"),C69,NA())</x:f>
        <x:v>#N/A</x:v>
      </x:c>
      <x:c r="N121" s="103" t="e">
        <x:f>IF(AND(52&lt;=$H$10,$H$12="計算可能"),$L$6,NA())</x:f>
        <x:v>#N/A</x:v>
      </x:c>
      <x:c r="O121" s="103" t="e">
        <x:f>IF(AND(52&lt;=$H$10,$H$12="計算可能"),$L$7,NA())</x:f>
        <x:v>#N/A</x:v>
      </x:c>
      <x:c r="P121" s="103" t="e">
        <x:f>IF(AND(52&lt;=$H$10,$H$12="計算可能"),$L$8,NA())</x:f>
        <x:v>#N/A</x:v>
      </x:c>
      <x:c r="Q121" s="21"/>
    </x:row>
    <x:row r="122" ht="21" customHeight="1">
      <x:c r="A122" s="91" t="str">
        <x:f>IF(ISNUMBER(B122),105,"")</x:f>
      </x:c>
      <x:c r="B122" s="89"/>
      <x:c r="C122" s="70" t="str">
        <x:f>IF(AND(ISNUMBER(B121),ISNUMBER(B122)),ABS(B122-B121),"")</x:f>
      </x:c>
      <x:c r="D122" s="67" t="str">
        <x:f>IF(AND(ISNUMBER(B122),$H$12="計算可能"),IF(OR(B122&gt;$H$7,B122&lt;$H$8),"管理外",""),"")</x:f>
      </x:c>
      <x:c r="E122" s="67" t="str">
        <x:f>IF(AND(ISNUMBER(C122),$H$12="計算可能"),IF(OR(C122&gt;$L$7,C122&lt;$L$8),"管理外",""),"")</x:f>
      </x:c>
      <x:c r="F122" s="21"/>
      <x:c r="G122" s="102" t="e">
        <x:f>IF(53&lt;=$H$10,53,NA())</x:f>
        <x:v>#N/A</x:v>
      </x:c>
      <x:c r="H122" s="103" t="e">
        <x:f>IF(AND(ISNUMBER(B70),$H$12="計算可能"),B70,NA())</x:f>
        <x:v>#N/A</x:v>
      </x:c>
      <x:c r="I122" s="103" t="e">
        <x:f>IF(AND(53&lt;=$H$10,$H$12="計算可能"),$H$6,NA())</x:f>
        <x:v>#N/A</x:v>
      </x:c>
      <x:c r="J122" s="103" t="e">
        <x:f>IF(AND(53&lt;=$H$10,$H$12="計算可能"),$H$7,NA())</x:f>
        <x:v>#N/A</x:v>
      </x:c>
      <x:c r="K122" s="103" t="e">
        <x:f>IF(AND(53&lt;=$H$10,$H$12="計算可能"),$H$8,NA())</x:f>
        <x:v>#N/A</x:v>
      </x:c>
      <x:c r="L122" s="102" t="e">
        <x:f>IF(53&lt;=$H$10,53,NA())</x:f>
        <x:v>#N/A</x:v>
      </x:c>
      <x:c r="M122" s="103" t="e">
        <x:f>IF(AND(ISNUMBER(C70),$H$12="計算可能"),C70,NA())</x:f>
        <x:v>#N/A</x:v>
      </x:c>
      <x:c r="N122" s="103" t="e">
        <x:f>IF(AND(53&lt;=$H$10,$H$12="計算可能"),$L$6,NA())</x:f>
        <x:v>#N/A</x:v>
      </x:c>
      <x:c r="O122" s="103" t="e">
        <x:f>IF(AND(53&lt;=$H$10,$H$12="計算可能"),$L$7,NA())</x:f>
        <x:v>#N/A</x:v>
      </x:c>
      <x:c r="P122" s="103" t="e">
        <x:f>IF(AND(53&lt;=$H$10,$H$12="計算可能"),$L$8,NA())</x:f>
        <x:v>#N/A</x:v>
      </x:c>
      <x:c r="Q122" s="21"/>
    </x:row>
    <x:row r="123" ht="21" customHeight="1">
      <x:c r="A123" s="91" t="str">
        <x:f>IF(ISNUMBER(B123),106,"")</x:f>
      </x:c>
      <x:c r="B123" s="89"/>
      <x:c r="C123" s="70" t="str">
        <x:f>IF(AND(ISNUMBER(B122),ISNUMBER(B123)),ABS(B123-B122),"")</x:f>
      </x:c>
      <x:c r="D123" s="67" t="str">
        <x:f>IF(AND(ISNUMBER(B123),$H$12="計算可能"),IF(OR(B123&gt;$H$7,B123&lt;$H$8),"管理外",""),"")</x:f>
      </x:c>
      <x:c r="E123" s="67" t="str">
        <x:f>IF(AND(ISNUMBER(C123),$H$12="計算可能"),IF(OR(C123&gt;$L$7,C123&lt;$L$8),"管理外",""),"")</x:f>
      </x:c>
      <x:c r="F123" s="21"/>
      <x:c r="G123" s="102" t="e">
        <x:f>IF(54&lt;=$H$10,54,NA())</x:f>
        <x:v>#N/A</x:v>
      </x:c>
      <x:c r="H123" s="103" t="e">
        <x:f>IF(AND(ISNUMBER(B71),$H$12="計算可能"),B71,NA())</x:f>
        <x:v>#N/A</x:v>
      </x:c>
      <x:c r="I123" s="103" t="e">
        <x:f>IF(AND(54&lt;=$H$10,$H$12="計算可能"),$H$6,NA())</x:f>
        <x:v>#N/A</x:v>
      </x:c>
      <x:c r="J123" s="103" t="e">
        <x:f>IF(AND(54&lt;=$H$10,$H$12="計算可能"),$H$7,NA())</x:f>
        <x:v>#N/A</x:v>
      </x:c>
      <x:c r="K123" s="103" t="e">
        <x:f>IF(AND(54&lt;=$H$10,$H$12="計算可能"),$H$8,NA())</x:f>
        <x:v>#N/A</x:v>
      </x:c>
      <x:c r="L123" s="102" t="e">
        <x:f>IF(54&lt;=$H$10,54,NA())</x:f>
        <x:v>#N/A</x:v>
      </x:c>
      <x:c r="M123" s="103" t="e">
        <x:f>IF(AND(ISNUMBER(C71),$H$12="計算可能"),C71,NA())</x:f>
        <x:v>#N/A</x:v>
      </x:c>
      <x:c r="N123" s="103" t="e">
        <x:f>IF(AND(54&lt;=$H$10,$H$12="計算可能"),$L$6,NA())</x:f>
        <x:v>#N/A</x:v>
      </x:c>
      <x:c r="O123" s="103" t="e">
        <x:f>IF(AND(54&lt;=$H$10,$H$12="計算可能"),$L$7,NA())</x:f>
        <x:v>#N/A</x:v>
      </x:c>
      <x:c r="P123" s="103" t="e">
        <x:f>IF(AND(54&lt;=$H$10,$H$12="計算可能"),$L$8,NA())</x:f>
        <x:v>#N/A</x:v>
      </x:c>
      <x:c r="Q123" s="21"/>
    </x:row>
    <x:row r="124" ht="21" customHeight="1">
      <x:c r="A124" s="91" t="str">
        <x:f>IF(ISNUMBER(B124),107,"")</x:f>
      </x:c>
      <x:c r="B124" s="89"/>
      <x:c r="C124" s="70" t="str">
        <x:f>IF(AND(ISNUMBER(B123),ISNUMBER(B124)),ABS(B124-B123),"")</x:f>
      </x:c>
      <x:c r="D124" s="67" t="str">
        <x:f>IF(AND(ISNUMBER(B124),$H$12="計算可能"),IF(OR(B124&gt;$H$7,B124&lt;$H$8),"管理外",""),"")</x:f>
      </x:c>
      <x:c r="E124" s="67" t="str">
        <x:f>IF(AND(ISNUMBER(C124),$H$12="計算可能"),IF(OR(C124&gt;$L$7,C124&lt;$L$8),"管理外",""),"")</x:f>
      </x:c>
      <x:c r="F124" s="21"/>
      <x:c r="G124" s="102" t="e">
        <x:f>IF(55&lt;=$H$10,55,NA())</x:f>
        <x:v>#N/A</x:v>
      </x:c>
      <x:c r="H124" s="103" t="e">
        <x:f>IF(AND(ISNUMBER(B72),$H$12="計算可能"),B72,NA())</x:f>
        <x:v>#N/A</x:v>
      </x:c>
      <x:c r="I124" s="103" t="e">
        <x:f>IF(AND(55&lt;=$H$10,$H$12="計算可能"),$H$6,NA())</x:f>
        <x:v>#N/A</x:v>
      </x:c>
      <x:c r="J124" s="103" t="e">
        <x:f>IF(AND(55&lt;=$H$10,$H$12="計算可能"),$H$7,NA())</x:f>
        <x:v>#N/A</x:v>
      </x:c>
      <x:c r="K124" s="103" t="e">
        <x:f>IF(AND(55&lt;=$H$10,$H$12="計算可能"),$H$8,NA())</x:f>
        <x:v>#N/A</x:v>
      </x:c>
      <x:c r="L124" s="102" t="e">
        <x:f>IF(55&lt;=$H$10,55,NA())</x:f>
        <x:v>#N/A</x:v>
      </x:c>
      <x:c r="M124" s="103" t="e">
        <x:f>IF(AND(ISNUMBER(C72),$H$12="計算可能"),C72,NA())</x:f>
        <x:v>#N/A</x:v>
      </x:c>
      <x:c r="N124" s="103" t="e">
        <x:f>IF(AND(55&lt;=$H$10,$H$12="計算可能"),$L$6,NA())</x:f>
        <x:v>#N/A</x:v>
      </x:c>
      <x:c r="O124" s="103" t="e">
        <x:f>IF(AND(55&lt;=$H$10,$H$12="計算可能"),$L$7,NA())</x:f>
        <x:v>#N/A</x:v>
      </x:c>
      <x:c r="P124" s="103" t="e">
        <x:f>IF(AND(55&lt;=$H$10,$H$12="計算可能"),$L$8,NA())</x:f>
        <x:v>#N/A</x:v>
      </x:c>
      <x:c r="Q124" s="21"/>
    </x:row>
    <x:row r="125" ht="21" customHeight="1">
      <x:c r="A125" s="91" t="str">
        <x:f>IF(ISNUMBER(B125),108,"")</x:f>
      </x:c>
      <x:c r="B125" s="89"/>
      <x:c r="C125" s="70" t="str">
        <x:f>IF(AND(ISNUMBER(B124),ISNUMBER(B125)),ABS(B125-B124),"")</x:f>
      </x:c>
      <x:c r="D125" s="67" t="str">
        <x:f>IF(AND(ISNUMBER(B125),$H$12="計算可能"),IF(OR(B125&gt;$H$7,B125&lt;$H$8),"管理外",""),"")</x:f>
      </x:c>
      <x:c r="E125" s="67" t="str">
        <x:f>IF(AND(ISNUMBER(C125),$H$12="計算可能"),IF(OR(C125&gt;$L$7,C125&lt;$L$8),"管理外",""),"")</x:f>
      </x:c>
      <x:c r="F125" s="21"/>
      <x:c r="G125" s="102" t="e">
        <x:f>IF(56&lt;=$H$10,56,NA())</x:f>
        <x:v>#N/A</x:v>
      </x:c>
      <x:c r="H125" s="103" t="e">
        <x:f>IF(AND(ISNUMBER(B73),$H$12="計算可能"),B73,NA())</x:f>
        <x:v>#N/A</x:v>
      </x:c>
      <x:c r="I125" s="103" t="e">
        <x:f>IF(AND(56&lt;=$H$10,$H$12="計算可能"),$H$6,NA())</x:f>
        <x:v>#N/A</x:v>
      </x:c>
      <x:c r="J125" s="103" t="e">
        <x:f>IF(AND(56&lt;=$H$10,$H$12="計算可能"),$H$7,NA())</x:f>
        <x:v>#N/A</x:v>
      </x:c>
      <x:c r="K125" s="103" t="e">
        <x:f>IF(AND(56&lt;=$H$10,$H$12="計算可能"),$H$8,NA())</x:f>
        <x:v>#N/A</x:v>
      </x:c>
      <x:c r="L125" s="102" t="e">
        <x:f>IF(56&lt;=$H$10,56,NA())</x:f>
        <x:v>#N/A</x:v>
      </x:c>
      <x:c r="M125" s="103" t="e">
        <x:f>IF(AND(ISNUMBER(C73),$H$12="計算可能"),C73,NA())</x:f>
        <x:v>#N/A</x:v>
      </x:c>
      <x:c r="N125" s="103" t="e">
        <x:f>IF(AND(56&lt;=$H$10,$H$12="計算可能"),$L$6,NA())</x:f>
        <x:v>#N/A</x:v>
      </x:c>
      <x:c r="O125" s="103" t="e">
        <x:f>IF(AND(56&lt;=$H$10,$H$12="計算可能"),$L$7,NA())</x:f>
        <x:v>#N/A</x:v>
      </x:c>
      <x:c r="P125" s="103" t="e">
        <x:f>IF(AND(56&lt;=$H$10,$H$12="計算可能"),$L$8,NA())</x:f>
        <x:v>#N/A</x:v>
      </x:c>
      <x:c r="Q125" s="21"/>
    </x:row>
    <x:row r="126" ht="21" customHeight="1">
      <x:c r="A126" s="91" t="str">
        <x:f>IF(ISNUMBER(B126),109,"")</x:f>
      </x:c>
      <x:c r="B126" s="89"/>
      <x:c r="C126" s="70" t="str">
        <x:f>IF(AND(ISNUMBER(B125),ISNUMBER(B126)),ABS(B126-B125),"")</x:f>
      </x:c>
      <x:c r="D126" s="67" t="str">
        <x:f>IF(AND(ISNUMBER(B126),$H$12="計算可能"),IF(OR(B126&gt;$H$7,B126&lt;$H$8),"管理外",""),"")</x:f>
      </x:c>
      <x:c r="E126" s="67" t="str">
        <x:f>IF(AND(ISNUMBER(C126),$H$12="計算可能"),IF(OR(C126&gt;$L$7,C126&lt;$L$8),"管理外",""),"")</x:f>
      </x:c>
      <x:c r="F126" s="21"/>
      <x:c r="G126" s="102" t="e">
        <x:f>IF(57&lt;=$H$10,57,NA())</x:f>
        <x:v>#N/A</x:v>
      </x:c>
      <x:c r="H126" s="103" t="e">
        <x:f>IF(AND(ISNUMBER(B74),$H$12="計算可能"),B74,NA())</x:f>
        <x:v>#N/A</x:v>
      </x:c>
      <x:c r="I126" s="103" t="e">
        <x:f>IF(AND(57&lt;=$H$10,$H$12="計算可能"),$H$6,NA())</x:f>
        <x:v>#N/A</x:v>
      </x:c>
      <x:c r="J126" s="103" t="e">
        <x:f>IF(AND(57&lt;=$H$10,$H$12="計算可能"),$H$7,NA())</x:f>
        <x:v>#N/A</x:v>
      </x:c>
      <x:c r="K126" s="103" t="e">
        <x:f>IF(AND(57&lt;=$H$10,$H$12="計算可能"),$H$8,NA())</x:f>
        <x:v>#N/A</x:v>
      </x:c>
      <x:c r="L126" s="102" t="e">
        <x:f>IF(57&lt;=$H$10,57,NA())</x:f>
        <x:v>#N/A</x:v>
      </x:c>
      <x:c r="M126" s="103" t="e">
        <x:f>IF(AND(ISNUMBER(C74),$H$12="計算可能"),C74,NA())</x:f>
        <x:v>#N/A</x:v>
      </x:c>
      <x:c r="N126" s="103" t="e">
        <x:f>IF(AND(57&lt;=$H$10,$H$12="計算可能"),$L$6,NA())</x:f>
        <x:v>#N/A</x:v>
      </x:c>
      <x:c r="O126" s="103" t="e">
        <x:f>IF(AND(57&lt;=$H$10,$H$12="計算可能"),$L$7,NA())</x:f>
        <x:v>#N/A</x:v>
      </x:c>
      <x:c r="P126" s="103" t="e">
        <x:f>IF(AND(57&lt;=$H$10,$H$12="計算可能"),$L$8,NA())</x:f>
        <x:v>#N/A</x:v>
      </x:c>
      <x:c r="Q126" s="21"/>
    </x:row>
    <x:row r="127" ht="21" customHeight="1">
      <x:c r="A127" s="91" t="str">
        <x:f>IF(ISNUMBER(B127),110,"")</x:f>
      </x:c>
      <x:c r="B127" s="89"/>
      <x:c r="C127" s="70" t="str">
        <x:f>IF(AND(ISNUMBER(B126),ISNUMBER(B127)),ABS(B127-B126),"")</x:f>
      </x:c>
      <x:c r="D127" s="67" t="str">
        <x:f>IF(AND(ISNUMBER(B127),$H$12="計算可能"),IF(OR(B127&gt;$H$7,B127&lt;$H$8),"管理外",""),"")</x:f>
      </x:c>
      <x:c r="E127" s="67" t="str">
        <x:f>IF(AND(ISNUMBER(C127),$H$12="計算可能"),IF(OR(C127&gt;$L$7,C127&lt;$L$8),"管理外",""),"")</x:f>
      </x:c>
      <x:c r="F127" s="21"/>
      <x:c r="G127" s="102" t="e">
        <x:f>IF(58&lt;=$H$10,58,NA())</x:f>
        <x:v>#N/A</x:v>
      </x:c>
      <x:c r="H127" s="103" t="e">
        <x:f>IF(AND(ISNUMBER(B75),$H$12="計算可能"),B75,NA())</x:f>
        <x:v>#N/A</x:v>
      </x:c>
      <x:c r="I127" s="103" t="e">
        <x:f>IF(AND(58&lt;=$H$10,$H$12="計算可能"),$H$6,NA())</x:f>
        <x:v>#N/A</x:v>
      </x:c>
      <x:c r="J127" s="103" t="e">
        <x:f>IF(AND(58&lt;=$H$10,$H$12="計算可能"),$H$7,NA())</x:f>
        <x:v>#N/A</x:v>
      </x:c>
      <x:c r="K127" s="103" t="e">
        <x:f>IF(AND(58&lt;=$H$10,$H$12="計算可能"),$H$8,NA())</x:f>
        <x:v>#N/A</x:v>
      </x:c>
      <x:c r="L127" s="102" t="e">
        <x:f>IF(58&lt;=$H$10,58,NA())</x:f>
        <x:v>#N/A</x:v>
      </x:c>
      <x:c r="M127" s="103" t="e">
        <x:f>IF(AND(ISNUMBER(C75),$H$12="計算可能"),C75,NA())</x:f>
        <x:v>#N/A</x:v>
      </x:c>
      <x:c r="N127" s="103" t="e">
        <x:f>IF(AND(58&lt;=$H$10,$H$12="計算可能"),$L$6,NA())</x:f>
        <x:v>#N/A</x:v>
      </x:c>
      <x:c r="O127" s="103" t="e">
        <x:f>IF(AND(58&lt;=$H$10,$H$12="計算可能"),$L$7,NA())</x:f>
        <x:v>#N/A</x:v>
      </x:c>
      <x:c r="P127" s="103" t="e">
        <x:f>IF(AND(58&lt;=$H$10,$H$12="計算可能"),$L$8,NA())</x:f>
        <x:v>#N/A</x:v>
      </x:c>
      <x:c r="Q127" s="21"/>
    </x:row>
    <x:row r="128" ht="21" customHeight="1">
      <x:c r="A128" s="91" t="str">
        <x:f>IF(ISNUMBER(B128),111,"")</x:f>
      </x:c>
      <x:c r="B128" s="89"/>
      <x:c r="C128" s="70" t="str">
        <x:f>IF(AND(ISNUMBER(B127),ISNUMBER(B128)),ABS(B128-B127),"")</x:f>
      </x:c>
      <x:c r="D128" s="67" t="str">
        <x:f>IF(AND(ISNUMBER(B128),$H$12="計算可能"),IF(OR(B128&gt;$H$7,B128&lt;$H$8),"管理外",""),"")</x:f>
      </x:c>
      <x:c r="E128" s="67" t="str">
        <x:f>IF(AND(ISNUMBER(C128),$H$12="計算可能"),IF(OR(C128&gt;$L$7,C128&lt;$L$8),"管理外",""),"")</x:f>
      </x:c>
      <x:c r="F128" s="21"/>
      <x:c r="G128" s="102" t="e">
        <x:f>IF(59&lt;=$H$10,59,NA())</x:f>
        <x:v>#N/A</x:v>
      </x:c>
      <x:c r="H128" s="103" t="e">
        <x:f>IF(AND(ISNUMBER(B76),$H$12="計算可能"),B76,NA())</x:f>
        <x:v>#N/A</x:v>
      </x:c>
      <x:c r="I128" s="103" t="e">
        <x:f>IF(AND(59&lt;=$H$10,$H$12="計算可能"),$H$6,NA())</x:f>
        <x:v>#N/A</x:v>
      </x:c>
      <x:c r="J128" s="103" t="e">
        <x:f>IF(AND(59&lt;=$H$10,$H$12="計算可能"),$H$7,NA())</x:f>
        <x:v>#N/A</x:v>
      </x:c>
      <x:c r="K128" s="103" t="e">
        <x:f>IF(AND(59&lt;=$H$10,$H$12="計算可能"),$H$8,NA())</x:f>
        <x:v>#N/A</x:v>
      </x:c>
      <x:c r="L128" s="102" t="e">
        <x:f>IF(59&lt;=$H$10,59,NA())</x:f>
        <x:v>#N/A</x:v>
      </x:c>
      <x:c r="M128" s="103" t="e">
        <x:f>IF(AND(ISNUMBER(C76),$H$12="計算可能"),C76,NA())</x:f>
        <x:v>#N/A</x:v>
      </x:c>
      <x:c r="N128" s="103" t="e">
        <x:f>IF(AND(59&lt;=$H$10,$H$12="計算可能"),$L$6,NA())</x:f>
        <x:v>#N/A</x:v>
      </x:c>
      <x:c r="O128" s="103" t="e">
        <x:f>IF(AND(59&lt;=$H$10,$H$12="計算可能"),$L$7,NA())</x:f>
        <x:v>#N/A</x:v>
      </x:c>
      <x:c r="P128" s="103" t="e">
        <x:f>IF(AND(59&lt;=$H$10,$H$12="計算可能"),$L$8,NA())</x:f>
        <x:v>#N/A</x:v>
      </x:c>
      <x:c r="Q128" s="21"/>
    </x:row>
    <x:row r="129" ht="21" customHeight="1">
      <x:c r="A129" s="91" t="str">
        <x:f>IF(ISNUMBER(B129),112,"")</x:f>
      </x:c>
      <x:c r="B129" s="89"/>
      <x:c r="C129" s="70" t="str">
        <x:f>IF(AND(ISNUMBER(B128),ISNUMBER(B129)),ABS(B129-B128),"")</x:f>
      </x:c>
      <x:c r="D129" s="67" t="str">
        <x:f>IF(AND(ISNUMBER(B129),$H$12="計算可能"),IF(OR(B129&gt;$H$7,B129&lt;$H$8),"管理外",""),"")</x:f>
      </x:c>
      <x:c r="E129" s="67" t="str">
        <x:f>IF(AND(ISNUMBER(C129),$H$12="計算可能"),IF(OR(C129&gt;$L$7,C129&lt;$L$8),"管理外",""),"")</x:f>
      </x:c>
      <x:c r="F129" s="21"/>
      <x:c r="G129" s="102" t="e">
        <x:f>IF(60&lt;=$H$10,60,NA())</x:f>
        <x:v>#N/A</x:v>
      </x:c>
      <x:c r="H129" s="103" t="e">
        <x:f>IF(AND(ISNUMBER(B77),$H$12="計算可能"),B77,NA())</x:f>
        <x:v>#N/A</x:v>
      </x:c>
      <x:c r="I129" s="103" t="e">
        <x:f>IF(AND(60&lt;=$H$10,$H$12="計算可能"),$H$6,NA())</x:f>
        <x:v>#N/A</x:v>
      </x:c>
      <x:c r="J129" s="103" t="e">
        <x:f>IF(AND(60&lt;=$H$10,$H$12="計算可能"),$H$7,NA())</x:f>
        <x:v>#N/A</x:v>
      </x:c>
      <x:c r="K129" s="103" t="e">
        <x:f>IF(AND(60&lt;=$H$10,$H$12="計算可能"),$H$8,NA())</x:f>
        <x:v>#N/A</x:v>
      </x:c>
      <x:c r="L129" s="102" t="e">
        <x:f>IF(60&lt;=$H$10,60,NA())</x:f>
        <x:v>#N/A</x:v>
      </x:c>
      <x:c r="M129" s="103" t="e">
        <x:f>IF(AND(ISNUMBER(C77),$H$12="計算可能"),C77,NA())</x:f>
        <x:v>#N/A</x:v>
      </x:c>
      <x:c r="N129" s="103" t="e">
        <x:f>IF(AND(60&lt;=$H$10,$H$12="計算可能"),$L$6,NA())</x:f>
        <x:v>#N/A</x:v>
      </x:c>
      <x:c r="O129" s="103" t="e">
        <x:f>IF(AND(60&lt;=$H$10,$H$12="計算可能"),$L$7,NA())</x:f>
        <x:v>#N/A</x:v>
      </x:c>
      <x:c r="P129" s="103" t="e">
        <x:f>IF(AND(60&lt;=$H$10,$H$12="計算可能"),$L$8,NA())</x:f>
        <x:v>#N/A</x:v>
      </x:c>
      <x:c r="Q129" s="21"/>
    </x:row>
    <x:row r="130" ht="21" customHeight="1">
      <x:c r="A130" s="91" t="str">
        <x:f>IF(ISNUMBER(B130),113,"")</x:f>
      </x:c>
      <x:c r="B130" s="89"/>
      <x:c r="C130" s="70" t="str">
        <x:f>IF(AND(ISNUMBER(B129),ISNUMBER(B130)),ABS(B130-B129),"")</x:f>
      </x:c>
      <x:c r="D130" s="67" t="str">
        <x:f>IF(AND(ISNUMBER(B130),$H$12="計算可能"),IF(OR(B130&gt;$H$7,B130&lt;$H$8),"管理外",""),"")</x:f>
      </x:c>
      <x:c r="E130" s="67" t="str">
        <x:f>IF(AND(ISNUMBER(C130),$H$12="計算可能"),IF(OR(C130&gt;$L$7,C130&lt;$L$8),"管理外",""),"")</x:f>
      </x:c>
      <x:c r="F130" s="21"/>
      <x:c r="G130" s="102" t="e">
        <x:f>IF(61&lt;=$H$10,61,NA())</x:f>
        <x:v>#N/A</x:v>
      </x:c>
      <x:c r="H130" s="103" t="e">
        <x:f>IF(AND(ISNUMBER(B78),$H$12="計算可能"),B78,NA())</x:f>
        <x:v>#N/A</x:v>
      </x:c>
      <x:c r="I130" s="103" t="e">
        <x:f>IF(AND(61&lt;=$H$10,$H$12="計算可能"),$H$6,NA())</x:f>
        <x:v>#N/A</x:v>
      </x:c>
      <x:c r="J130" s="103" t="e">
        <x:f>IF(AND(61&lt;=$H$10,$H$12="計算可能"),$H$7,NA())</x:f>
        <x:v>#N/A</x:v>
      </x:c>
      <x:c r="K130" s="103" t="e">
        <x:f>IF(AND(61&lt;=$H$10,$H$12="計算可能"),$H$8,NA())</x:f>
        <x:v>#N/A</x:v>
      </x:c>
      <x:c r="L130" s="102" t="e">
        <x:f>IF(61&lt;=$H$10,61,NA())</x:f>
        <x:v>#N/A</x:v>
      </x:c>
      <x:c r="M130" s="103" t="e">
        <x:f>IF(AND(ISNUMBER(C78),$H$12="計算可能"),C78,NA())</x:f>
        <x:v>#N/A</x:v>
      </x:c>
      <x:c r="N130" s="103" t="e">
        <x:f>IF(AND(61&lt;=$H$10,$H$12="計算可能"),$L$6,NA())</x:f>
        <x:v>#N/A</x:v>
      </x:c>
      <x:c r="O130" s="103" t="e">
        <x:f>IF(AND(61&lt;=$H$10,$H$12="計算可能"),$L$7,NA())</x:f>
        <x:v>#N/A</x:v>
      </x:c>
      <x:c r="P130" s="103" t="e">
        <x:f>IF(AND(61&lt;=$H$10,$H$12="計算可能"),$L$8,NA())</x:f>
        <x:v>#N/A</x:v>
      </x:c>
      <x:c r="Q130" s="21"/>
    </x:row>
    <x:row r="131" ht="21" customHeight="1">
      <x:c r="A131" s="91" t="str">
        <x:f>IF(ISNUMBER(B131),114,"")</x:f>
      </x:c>
      <x:c r="B131" s="89"/>
      <x:c r="C131" s="70" t="str">
        <x:f>IF(AND(ISNUMBER(B130),ISNUMBER(B131)),ABS(B131-B130),"")</x:f>
      </x:c>
      <x:c r="D131" s="67" t="str">
        <x:f>IF(AND(ISNUMBER(B131),$H$12="計算可能"),IF(OR(B131&gt;$H$7,B131&lt;$H$8),"管理外",""),"")</x:f>
      </x:c>
      <x:c r="E131" s="67" t="str">
        <x:f>IF(AND(ISNUMBER(C131),$H$12="計算可能"),IF(OR(C131&gt;$L$7,C131&lt;$L$8),"管理外",""),"")</x:f>
      </x:c>
      <x:c r="F131" s="21"/>
      <x:c r="G131" s="102" t="e">
        <x:f>IF(62&lt;=$H$10,62,NA())</x:f>
        <x:v>#N/A</x:v>
      </x:c>
      <x:c r="H131" s="103" t="e">
        <x:f>IF(AND(ISNUMBER(B79),$H$12="計算可能"),B79,NA())</x:f>
        <x:v>#N/A</x:v>
      </x:c>
      <x:c r="I131" s="103" t="e">
        <x:f>IF(AND(62&lt;=$H$10,$H$12="計算可能"),$H$6,NA())</x:f>
        <x:v>#N/A</x:v>
      </x:c>
      <x:c r="J131" s="103" t="e">
        <x:f>IF(AND(62&lt;=$H$10,$H$12="計算可能"),$H$7,NA())</x:f>
        <x:v>#N/A</x:v>
      </x:c>
      <x:c r="K131" s="103" t="e">
        <x:f>IF(AND(62&lt;=$H$10,$H$12="計算可能"),$H$8,NA())</x:f>
        <x:v>#N/A</x:v>
      </x:c>
      <x:c r="L131" s="102" t="e">
        <x:f>IF(62&lt;=$H$10,62,NA())</x:f>
        <x:v>#N/A</x:v>
      </x:c>
      <x:c r="M131" s="103" t="e">
        <x:f>IF(AND(ISNUMBER(C79),$H$12="計算可能"),C79,NA())</x:f>
        <x:v>#N/A</x:v>
      </x:c>
      <x:c r="N131" s="103" t="e">
        <x:f>IF(AND(62&lt;=$H$10,$H$12="計算可能"),$L$6,NA())</x:f>
        <x:v>#N/A</x:v>
      </x:c>
      <x:c r="O131" s="103" t="e">
        <x:f>IF(AND(62&lt;=$H$10,$H$12="計算可能"),$L$7,NA())</x:f>
        <x:v>#N/A</x:v>
      </x:c>
      <x:c r="P131" s="103" t="e">
        <x:f>IF(AND(62&lt;=$H$10,$H$12="計算可能"),$L$8,NA())</x:f>
        <x:v>#N/A</x:v>
      </x:c>
      <x:c r="Q131" s="21"/>
    </x:row>
    <x:row r="132" ht="21" customHeight="1">
      <x:c r="A132" s="91" t="str">
        <x:f>IF(ISNUMBER(B132),115,"")</x:f>
      </x:c>
      <x:c r="B132" s="89"/>
      <x:c r="C132" s="70" t="str">
        <x:f>IF(AND(ISNUMBER(B131),ISNUMBER(B132)),ABS(B132-B131),"")</x:f>
      </x:c>
      <x:c r="D132" s="67" t="str">
        <x:f>IF(AND(ISNUMBER(B132),$H$12="計算可能"),IF(OR(B132&gt;$H$7,B132&lt;$H$8),"管理外",""),"")</x:f>
      </x:c>
      <x:c r="E132" s="67" t="str">
        <x:f>IF(AND(ISNUMBER(C132),$H$12="計算可能"),IF(OR(C132&gt;$L$7,C132&lt;$L$8),"管理外",""),"")</x:f>
      </x:c>
      <x:c r="F132" s="21"/>
      <x:c r="G132" s="102" t="e">
        <x:f>IF(63&lt;=$H$10,63,NA())</x:f>
        <x:v>#N/A</x:v>
      </x:c>
      <x:c r="H132" s="103" t="e">
        <x:f>IF(AND(ISNUMBER(B80),$H$12="計算可能"),B80,NA())</x:f>
        <x:v>#N/A</x:v>
      </x:c>
      <x:c r="I132" s="103" t="e">
        <x:f>IF(AND(63&lt;=$H$10,$H$12="計算可能"),$H$6,NA())</x:f>
        <x:v>#N/A</x:v>
      </x:c>
      <x:c r="J132" s="103" t="e">
        <x:f>IF(AND(63&lt;=$H$10,$H$12="計算可能"),$H$7,NA())</x:f>
        <x:v>#N/A</x:v>
      </x:c>
      <x:c r="K132" s="103" t="e">
        <x:f>IF(AND(63&lt;=$H$10,$H$12="計算可能"),$H$8,NA())</x:f>
        <x:v>#N/A</x:v>
      </x:c>
      <x:c r="L132" s="102" t="e">
        <x:f>IF(63&lt;=$H$10,63,NA())</x:f>
        <x:v>#N/A</x:v>
      </x:c>
      <x:c r="M132" s="103" t="e">
        <x:f>IF(AND(ISNUMBER(C80),$H$12="計算可能"),C80,NA())</x:f>
        <x:v>#N/A</x:v>
      </x:c>
      <x:c r="N132" s="103" t="e">
        <x:f>IF(AND(63&lt;=$H$10,$H$12="計算可能"),$L$6,NA())</x:f>
        <x:v>#N/A</x:v>
      </x:c>
      <x:c r="O132" s="103" t="e">
        <x:f>IF(AND(63&lt;=$H$10,$H$12="計算可能"),$L$7,NA())</x:f>
        <x:v>#N/A</x:v>
      </x:c>
      <x:c r="P132" s="103" t="e">
        <x:f>IF(AND(63&lt;=$H$10,$H$12="計算可能"),$L$8,NA())</x:f>
        <x:v>#N/A</x:v>
      </x:c>
      <x:c r="Q132" s="21"/>
    </x:row>
    <x:row r="133" ht="21" customHeight="1">
      <x:c r="A133" s="91" t="str">
        <x:f>IF(ISNUMBER(B133),116,"")</x:f>
      </x:c>
      <x:c r="B133" s="89"/>
      <x:c r="C133" s="70" t="str">
        <x:f>IF(AND(ISNUMBER(B132),ISNUMBER(B133)),ABS(B133-B132),"")</x:f>
      </x:c>
      <x:c r="D133" s="67" t="str">
        <x:f>IF(AND(ISNUMBER(B133),$H$12="計算可能"),IF(OR(B133&gt;$H$7,B133&lt;$H$8),"管理外",""),"")</x:f>
      </x:c>
      <x:c r="E133" s="67" t="str">
        <x:f>IF(AND(ISNUMBER(C133),$H$12="計算可能"),IF(OR(C133&gt;$L$7,C133&lt;$L$8),"管理外",""),"")</x:f>
      </x:c>
      <x:c r="F133" s="21"/>
      <x:c r="G133" s="102" t="e">
        <x:f>IF(64&lt;=$H$10,64,NA())</x:f>
        <x:v>#N/A</x:v>
      </x:c>
      <x:c r="H133" s="103" t="e">
        <x:f>IF(AND(ISNUMBER(B81),$H$12="計算可能"),B81,NA())</x:f>
        <x:v>#N/A</x:v>
      </x:c>
      <x:c r="I133" s="103" t="e">
        <x:f>IF(AND(64&lt;=$H$10,$H$12="計算可能"),$H$6,NA())</x:f>
        <x:v>#N/A</x:v>
      </x:c>
      <x:c r="J133" s="103" t="e">
        <x:f>IF(AND(64&lt;=$H$10,$H$12="計算可能"),$H$7,NA())</x:f>
        <x:v>#N/A</x:v>
      </x:c>
      <x:c r="K133" s="103" t="e">
        <x:f>IF(AND(64&lt;=$H$10,$H$12="計算可能"),$H$8,NA())</x:f>
        <x:v>#N/A</x:v>
      </x:c>
      <x:c r="L133" s="102" t="e">
        <x:f>IF(64&lt;=$H$10,64,NA())</x:f>
        <x:v>#N/A</x:v>
      </x:c>
      <x:c r="M133" s="103" t="e">
        <x:f>IF(AND(ISNUMBER(C81),$H$12="計算可能"),C81,NA())</x:f>
        <x:v>#N/A</x:v>
      </x:c>
      <x:c r="N133" s="103" t="e">
        <x:f>IF(AND(64&lt;=$H$10,$H$12="計算可能"),$L$6,NA())</x:f>
        <x:v>#N/A</x:v>
      </x:c>
      <x:c r="O133" s="103" t="e">
        <x:f>IF(AND(64&lt;=$H$10,$H$12="計算可能"),$L$7,NA())</x:f>
        <x:v>#N/A</x:v>
      </x:c>
      <x:c r="P133" s="103" t="e">
        <x:f>IF(AND(64&lt;=$H$10,$H$12="計算可能"),$L$8,NA())</x:f>
        <x:v>#N/A</x:v>
      </x:c>
      <x:c r="Q133" s="21"/>
    </x:row>
    <x:row r="134" ht="21" customHeight="1">
      <x:c r="A134" s="91" t="str">
        <x:f>IF(ISNUMBER(B134),117,"")</x:f>
      </x:c>
      <x:c r="B134" s="89"/>
      <x:c r="C134" s="70" t="str">
        <x:f>IF(AND(ISNUMBER(B133),ISNUMBER(B134)),ABS(B134-B133),"")</x:f>
      </x:c>
      <x:c r="D134" s="67" t="str">
        <x:f>IF(AND(ISNUMBER(B134),$H$12="計算可能"),IF(OR(B134&gt;$H$7,B134&lt;$H$8),"管理外",""),"")</x:f>
      </x:c>
      <x:c r="E134" s="67" t="str">
        <x:f>IF(AND(ISNUMBER(C134),$H$12="計算可能"),IF(OR(C134&gt;$L$7,C134&lt;$L$8),"管理外",""),"")</x:f>
      </x:c>
      <x:c r="F134" s="21"/>
      <x:c r="G134" s="102" t="e">
        <x:f>IF(65&lt;=$H$10,65,NA())</x:f>
        <x:v>#N/A</x:v>
      </x:c>
      <x:c r="H134" s="103" t="e">
        <x:f>IF(AND(ISNUMBER(B82),$H$12="計算可能"),B82,NA())</x:f>
        <x:v>#N/A</x:v>
      </x:c>
      <x:c r="I134" s="103" t="e">
        <x:f>IF(AND(65&lt;=$H$10,$H$12="計算可能"),$H$6,NA())</x:f>
        <x:v>#N/A</x:v>
      </x:c>
      <x:c r="J134" s="103" t="e">
        <x:f>IF(AND(65&lt;=$H$10,$H$12="計算可能"),$H$7,NA())</x:f>
        <x:v>#N/A</x:v>
      </x:c>
      <x:c r="K134" s="103" t="e">
        <x:f>IF(AND(65&lt;=$H$10,$H$12="計算可能"),$H$8,NA())</x:f>
        <x:v>#N/A</x:v>
      </x:c>
      <x:c r="L134" s="102" t="e">
        <x:f>IF(65&lt;=$H$10,65,NA())</x:f>
        <x:v>#N/A</x:v>
      </x:c>
      <x:c r="M134" s="103" t="e">
        <x:f>IF(AND(ISNUMBER(C82),$H$12="計算可能"),C82,NA())</x:f>
        <x:v>#N/A</x:v>
      </x:c>
      <x:c r="N134" s="103" t="e">
        <x:f>IF(AND(65&lt;=$H$10,$H$12="計算可能"),$L$6,NA())</x:f>
        <x:v>#N/A</x:v>
      </x:c>
      <x:c r="O134" s="103" t="e">
        <x:f>IF(AND(65&lt;=$H$10,$H$12="計算可能"),$L$7,NA())</x:f>
        <x:v>#N/A</x:v>
      </x:c>
      <x:c r="P134" s="103" t="e">
        <x:f>IF(AND(65&lt;=$H$10,$H$12="計算可能"),$L$8,NA())</x:f>
        <x:v>#N/A</x:v>
      </x:c>
      <x:c r="Q134" s="21"/>
    </x:row>
    <x:row r="135" ht="21" customHeight="1">
      <x:c r="A135" s="91" t="str">
        <x:f>IF(ISNUMBER(B135),118,"")</x:f>
      </x:c>
      <x:c r="B135" s="89"/>
      <x:c r="C135" s="70" t="str">
        <x:f>IF(AND(ISNUMBER(B134),ISNUMBER(B135)),ABS(B135-B134),"")</x:f>
      </x:c>
      <x:c r="D135" s="67" t="str">
        <x:f>IF(AND(ISNUMBER(B135),$H$12="計算可能"),IF(OR(B135&gt;$H$7,B135&lt;$H$8),"管理外",""),"")</x:f>
      </x:c>
      <x:c r="E135" s="67" t="str">
        <x:f>IF(AND(ISNUMBER(C135),$H$12="計算可能"),IF(OR(C135&gt;$L$7,C135&lt;$L$8),"管理外",""),"")</x:f>
      </x:c>
      <x:c r="F135" s="21"/>
      <x:c r="G135" s="102" t="e">
        <x:f>IF(66&lt;=$H$10,66,NA())</x:f>
        <x:v>#N/A</x:v>
      </x:c>
      <x:c r="H135" s="103" t="e">
        <x:f>IF(AND(ISNUMBER(B83),$H$12="計算可能"),B83,NA())</x:f>
        <x:v>#N/A</x:v>
      </x:c>
      <x:c r="I135" s="103" t="e">
        <x:f>IF(AND(66&lt;=$H$10,$H$12="計算可能"),$H$6,NA())</x:f>
        <x:v>#N/A</x:v>
      </x:c>
      <x:c r="J135" s="103" t="e">
        <x:f>IF(AND(66&lt;=$H$10,$H$12="計算可能"),$H$7,NA())</x:f>
        <x:v>#N/A</x:v>
      </x:c>
      <x:c r="K135" s="103" t="e">
        <x:f>IF(AND(66&lt;=$H$10,$H$12="計算可能"),$H$8,NA())</x:f>
        <x:v>#N/A</x:v>
      </x:c>
      <x:c r="L135" s="102" t="e">
        <x:f>IF(66&lt;=$H$10,66,NA())</x:f>
        <x:v>#N/A</x:v>
      </x:c>
      <x:c r="M135" s="103" t="e">
        <x:f>IF(AND(ISNUMBER(C83),$H$12="計算可能"),C83,NA())</x:f>
        <x:v>#N/A</x:v>
      </x:c>
      <x:c r="N135" s="103" t="e">
        <x:f>IF(AND(66&lt;=$H$10,$H$12="計算可能"),$L$6,NA())</x:f>
        <x:v>#N/A</x:v>
      </x:c>
      <x:c r="O135" s="103" t="e">
        <x:f>IF(AND(66&lt;=$H$10,$H$12="計算可能"),$L$7,NA())</x:f>
        <x:v>#N/A</x:v>
      </x:c>
      <x:c r="P135" s="103" t="e">
        <x:f>IF(AND(66&lt;=$H$10,$H$12="計算可能"),$L$8,NA())</x:f>
        <x:v>#N/A</x:v>
      </x:c>
      <x:c r="Q135" s="21"/>
    </x:row>
    <x:row r="136" ht="21" customHeight="1">
      <x:c r="A136" s="91" t="str">
        <x:f>IF(ISNUMBER(B136),119,"")</x:f>
      </x:c>
      <x:c r="B136" s="89"/>
      <x:c r="C136" s="70" t="str">
        <x:f>IF(AND(ISNUMBER(B135),ISNUMBER(B136)),ABS(B136-B135),"")</x:f>
      </x:c>
      <x:c r="D136" s="67" t="str">
        <x:f>IF(AND(ISNUMBER(B136),$H$12="計算可能"),IF(OR(B136&gt;$H$7,B136&lt;$H$8),"管理外",""),"")</x:f>
      </x:c>
      <x:c r="E136" s="67" t="str">
        <x:f>IF(AND(ISNUMBER(C136),$H$12="計算可能"),IF(OR(C136&gt;$L$7,C136&lt;$L$8),"管理外",""),"")</x:f>
      </x:c>
      <x:c r="F136" s="21"/>
      <x:c r="G136" s="102" t="e">
        <x:f>IF(67&lt;=$H$10,67,NA())</x:f>
        <x:v>#N/A</x:v>
      </x:c>
      <x:c r="H136" s="103" t="e">
        <x:f>IF(AND(ISNUMBER(B84),$H$12="計算可能"),B84,NA())</x:f>
        <x:v>#N/A</x:v>
      </x:c>
      <x:c r="I136" s="103" t="e">
        <x:f>IF(AND(67&lt;=$H$10,$H$12="計算可能"),$H$6,NA())</x:f>
        <x:v>#N/A</x:v>
      </x:c>
      <x:c r="J136" s="103" t="e">
        <x:f>IF(AND(67&lt;=$H$10,$H$12="計算可能"),$H$7,NA())</x:f>
        <x:v>#N/A</x:v>
      </x:c>
      <x:c r="K136" s="103" t="e">
        <x:f>IF(AND(67&lt;=$H$10,$H$12="計算可能"),$H$8,NA())</x:f>
        <x:v>#N/A</x:v>
      </x:c>
      <x:c r="L136" s="102" t="e">
        <x:f>IF(67&lt;=$H$10,67,NA())</x:f>
        <x:v>#N/A</x:v>
      </x:c>
      <x:c r="M136" s="103" t="e">
        <x:f>IF(AND(ISNUMBER(C84),$H$12="計算可能"),C84,NA())</x:f>
        <x:v>#N/A</x:v>
      </x:c>
      <x:c r="N136" s="103" t="e">
        <x:f>IF(AND(67&lt;=$H$10,$H$12="計算可能"),$L$6,NA())</x:f>
        <x:v>#N/A</x:v>
      </x:c>
      <x:c r="O136" s="103" t="e">
        <x:f>IF(AND(67&lt;=$H$10,$H$12="計算可能"),$L$7,NA())</x:f>
        <x:v>#N/A</x:v>
      </x:c>
      <x:c r="P136" s="103" t="e">
        <x:f>IF(AND(67&lt;=$H$10,$H$12="計算可能"),$L$8,NA())</x:f>
        <x:v>#N/A</x:v>
      </x:c>
      <x:c r="Q136" s="21"/>
    </x:row>
    <x:row r="137" ht="21" customHeight="1">
      <x:c r="A137" s="91" t="str">
        <x:f>IF(ISNUMBER(B137),120,"")</x:f>
      </x:c>
      <x:c r="B137" s="89"/>
      <x:c r="C137" s="70" t="str">
        <x:f>IF(AND(ISNUMBER(B136),ISNUMBER(B137)),ABS(B137-B136),"")</x:f>
      </x:c>
      <x:c r="D137" s="67" t="str">
        <x:f>IF(AND(ISNUMBER(B137),$H$12="計算可能"),IF(OR(B137&gt;$H$7,B137&lt;$H$8),"管理外",""),"")</x:f>
      </x:c>
      <x:c r="E137" s="67" t="str">
        <x:f>IF(AND(ISNUMBER(C137),$H$12="計算可能"),IF(OR(C137&gt;$L$7,C137&lt;$L$8),"管理外",""),"")</x:f>
      </x:c>
      <x:c r="F137" s="21"/>
      <x:c r="G137" s="102" t="e">
        <x:f>IF(68&lt;=$H$10,68,NA())</x:f>
        <x:v>#N/A</x:v>
      </x:c>
      <x:c r="H137" s="103" t="e">
        <x:f>IF(AND(ISNUMBER(B85),$H$12="計算可能"),B85,NA())</x:f>
        <x:v>#N/A</x:v>
      </x:c>
      <x:c r="I137" s="103" t="e">
        <x:f>IF(AND(68&lt;=$H$10,$H$12="計算可能"),$H$6,NA())</x:f>
        <x:v>#N/A</x:v>
      </x:c>
      <x:c r="J137" s="103" t="e">
        <x:f>IF(AND(68&lt;=$H$10,$H$12="計算可能"),$H$7,NA())</x:f>
        <x:v>#N/A</x:v>
      </x:c>
      <x:c r="K137" s="103" t="e">
        <x:f>IF(AND(68&lt;=$H$10,$H$12="計算可能"),$H$8,NA())</x:f>
        <x:v>#N/A</x:v>
      </x:c>
      <x:c r="L137" s="102" t="e">
        <x:f>IF(68&lt;=$H$10,68,NA())</x:f>
        <x:v>#N/A</x:v>
      </x:c>
      <x:c r="M137" s="103" t="e">
        <x:f>IF(AND(ISNUMBER(C85),$H$12="計算可能"),C85,NA())</x:f>
        <x:v>#N/A</x:v>
      </x:c>
      <x:c r="N137" s="103" t="e">
        <x:f>IF(AND(68&lt;=$H$10,$H$12="計算可能"),$L$6,NA())</x:f>
        <x:v>#N/A</x:v>
      </x:c>
      <x:c r="O137" s="103" t="e">
        <x:f>IF(AND(68&lt;=$H$10,$H$12="計算可能"),$L$7,NA())</x:f>
        <x:v>#N/A</x:v>
      </x:c>
      <x:c r="P137" s="103" t="e">
        <x:f>IF(AND(68&lt;=$H$10,$H$12="計算可能"),$L$8,NA())</x:f>
        <x:v>#N/A</x:v>
      </x:c>
      <x:c r="Q137" s="21"/>
    </x:row>
    <x:row r="138" ht="21" customHeight="1">
      <x:c r="A138" s="91" t="str">
        <x:f>IF(ISNUMBER(B138),121,"")</x:f>
      </x:c>
      <x:c r="B138" s="89"/>
      <x:c r="C138" s="70" t="str">
        <x:f>IF(AND(ISNUMBER(B137),ISNUMBER(B138)),ABS(B138-B137),"")</x:f>
      </x:c>
      <x:c r="D138" s="67" t="str">
        <x:f>IF(AND(ISNUMBER(B138),$H$12="計算可能"),IF(OR(B138&gt;$H$7,B138&lt;$H$8),"管理外",""),"")</x:f>
      </x:c>
      <x:c r="E138" s="67" t="str">
        <x:f>IF(AND(ISNUMBER(C138),$H$12="計算可能"),IF(OR(C138&gt;$L$7,C138&lt;$L$8),"管理外",""),"")</x:f>
      </x:c>
      <x:c r="F138" s="21"/>
      <x:c r="G138" s="102" t="e">
        <x:f>IF(69&lt;=$H$10,69,NA())</x:f>
        <x:v>#N/A</x:v>
      </x:c>
      <x:c r="H138" s="103" t="e">
        <x:f>IF(AND(ISNUMBER(B86),$H$12="計算可能"),B86,NA())</x:f>
        <x:v>#N/A</x:v>
      </x:c>
      <x:c r="I138" s="103" t="e">
        <x:f>IF(AND(69&lt;=$H$10,$H$12="計算可能"),$H$6,NA())</x:f>
        <x:v>#N/A</x:v>
      </x:c>
      <x:c r="J138" s="103" t="e">
        <x:f>IF(AND(69&lt;=$H$10,$H$12="計算可能"),$H$7,NA())</x:f>
        <x:v>#N/A</x:v>
      </x:c>
      <x:c r="K138" s="103" t="e">
        <x:f>IF(AND(69&lt;=$H$10,$H$12="計算可能"),$H$8,NA())</x:f>
        <x:v>#N/A</x:v>
      </x:c>
      <x:c r="L138" s="102" t="e">
        <x:f>IF(69&lt;=$H$10,69,NA())</x:f>
        <x:v>#N/A</x:v>
      </x:c>
      <x:c r="M138" s="103" t="e">
        <x:f>IF(AND(ISNUMBER(C86),$H$12="計算可能"),C86,NA())</x:f>
        <x:v>#N/A</x:v>
      </x:c>
      <x:c r="N138" s="103" t="e">
        <x:f>IF(AND(69&lt;=$H$10,$H$12="計算可能"),$L$6,NA())</x:f>
        <x:v>#N/A</x:v>
      </x:c>
      <x:c r="O138" s="103" t="e">
        <x:f>IF(AND(69&lt;=$H$10,$H$12="計算可能"),$L$7,NA())</x:f>
        <x:v>#N/A</x:v>
      </x:c>
      <x:c r="P138" s="103" t="e">
        <x:f>IF(AND(69&lt;=$H$10,$H$12="計算可能"),$L$8,NA())</x:f>
        <x:v>#N/A</x:v>
      </x:c>
      <x:c r="Q138" s="21"/>
    </x:row>
    <x:row r="139" ht="21" customHeight="1">
      <x:c r="A139" s="91" t="str">
        <x:f>IF(ISNUMBER(B139),122,"")</x:f>
      </x:c>
      <x:c r="B139" s="89"/>
      <x:c r="C139" s="70" t="str">
        <x:f>IF(AND(ISNUMBER(B138),ISNUMBER(B139)),ABS(B139-B138),"")</x:f>
      </x:c>
      <x:c r="D139" s="67" t="str">
        <x:f>IF(AND(ISNUMBER(B139),$H$12="計算可能"),IF(OR(B139&gt;$H$7,B139&lt;$H$8),"管理外",""),"")</x:f>
      </x:c>
      <x:c r="E139" s="67" t="str">
        <x:f>IF(AND(ISNUMBER(C139),$H$12="計算可能"),IF(OR(C139&gt;$L$7,C139&lt;$L$8),"管理外",""),"")</x:f>
      </x:c>
      <x:c r="F139" s="21"/>
      <x:c r="G139" s="102" t="e">
        <x:f>IF(70&lt;=$H$10,70,NA())</x:f>
        <x:v>#N/A</x:v>
      </x:c>
      <x:c r="H139" s="103" t="e">
        <x:f>IF(AND(ISNUMBER(B87),$H$12="計算可能"),B87,NA())</x:f>
        <x:v>#N/A</x:v>
      </x:c>
      <x:c r="I139" s="103" t="e">
        <x:f>IF(AND(70&lt;=$H$10,$H$12="計算可能"),$H$6,NA())</x:f>
        <x:v>#N/A</x:v>
      </x:c>
      <x:c r="J139" s="103" t="e">
        <x:f>IF(AND(70&lt;=$H$10,$H$12="計算可能"),$H$7,NA())</x:f>
        <x:v>#N/A</x:v>
      </x:c>
      <x:c r="K139" s="103" t="e">
        <x:f>IF(AND(70&lt;=$H$10,$H$12="計算可能"),$H$8,NA())</x:f>
        <x:v>#N/A</x:v>
      </x:c>
      <x:c r="L139" s="102" t="e">
        <x:f>IF(70&lt;=$H$10,70,NA())</x:f>
        <x:v>#N/A</x:v>
      </x:c>
      <x:c r="M139" s="103" t="e">
        <x:f>IF(AND(ISNUMBER(C87),$H$12="計算可能"),C87,NA())</x:f>
        <x:v>#N/A</x:v>
      </x:c>
      <x:c r="N139" s="103" t="e">
        <x:f>IF(AND(70&lt;=$H$10,$H$12="計算可能"),$L$6,NA())</x:f>
        <x:v>#N/A</x:v>
      </x:c>
      <x:c r="O139" s="103" t="e">
        <x:f>IF(AND(70&lt;=$H$10,$H$12="計算可能"),$L$7,NA())</x:f>
        <x:v>#N/A</x:v>
      </x:c>
      <x:c r="P139" s="103" t="e">
        <x:f>IF(AND(70&lt;=$H$10,$H$12="計算可能"),$L$8,NA())</x:f>
        <x:v>#N/A</x:v>
      </x:c>
      <x:c r="Q139" s="21"/>
    </x:row>
    <x:row r="140" ht="21" customHeight="1">
      <x:c r="A140" s="91" t="str">
        <x:f>IF(ISNUMBER(B140),123,"")</x:f>
      </x:c>
      <x:c r="B140" s="89"/>
      <x:c r="C140" s="70" t="str">
        <x:f>IF(AND(ISNUMBER(B139),ISNUMBER(B140)),ABS(B140-B139),"")</x:f>
      </x:c>
      <x:c r="D140" s="67" t="str">
        <x:f>IF(AND(ISNUMBER(B140),$H$12="計算可能"),IF(OR(B140&gt;$H$7,B140&lt;$H$8),"管理外",""),"")</x:f>
      </x:c>
      <x:c r="E140" s="67" t="str">
        <x:f>IF(AND(ISNUMBER(C140),$H$12="計算可能"),IF(OR(C140&gt;$L$7,C140&lt;$L$8),"管理外",""),"")</x:f>
      </x:c>
      <x:c r="F140" s="21"/>
      <x:c r="G140" s="102" t="e">
        <x:f>IF(71&lt;=$H$10,71,NA())</x:f>
        <x:v>#N/A</x:v>
      </x:c>
      <x:c r="H140" s="103" t="e">
        <x:f>IF(AND(ISNUMBER(B88),$H$12="計算可能"),B88,NA())</x:f>
        <x:v>#N/A</x:v>
      </x:c>
      <x:c r="I140" s="103" t="e">
        <x:f>IF(AND(71&lt;=$H$10,$H$12="計算可能"),$H$6,NA())</x:f>
        <x:v>#N/A</x:v>
      </x:c>
      <x:c r="J140" s="103" t="e">
        <x:f>IF(AND(71&lt;=$H$10,$H$12="計算可能"),$H$7,NA())</x:f>
        <x:v>#N/A</x:v>
      </x:c>
      <x:c r="K140" s="103" t="e">
        <x:f>IF(AND(71&lt;=$H$10,$H$12="計算可能"),$H$8,NA())</x:f>
        <x:v>#N/A</x:v>
      </x:c>
      <x:c r="L140" s="102" t="e">
        <x:f>IF(71&lt;=$H$10,71,NA())</x:f>
        <x:v>#N/A</x:v>
      </x:c>
      <x:c r="M140" s="103" t="e">
        <x:f>IF(AND(ISNUMBER(C88),$H$12="計算可能"),C88,NA())</x:f>
        <x:v>#N/A</x:v>
      </x:c>
      <x:c r="N140" s="103" t="e">
        <x:f>IF(AND(71&lt;=$H$10,$H$12="計算可能"),$L$6,NA())</x:f>
        <x:v>#N/A</x:v>
      </x:c>
      <x:c r="O140" s="103" t="e">
        <x:f>IF(AND(71&lt;=$H$10,$H$12="計算可能"),$L$7,NA())</x:f>
        <x:v>#N/A</x:v>
      </x:c>
      <x:c r="P140" s="103" t="e">
        <x:f>IF(AND(71&lt;=$H$10,$H$12="計算可能"),$L$8,NA())</x:f>
        <x:v>#N/A</x:v>
      </x:c>
      <x:c r="Q140" s="21"/>
    </x:row>
    <x:row r="141" ht="21" customHeight="1">
      <x:c r="A141" s="91" t="str">
        <x:f>IF(ISNUMBER(B141),124,"")</x:f>
      </x:c>
      <x:c r="B141" s="89"/>
      <x:c r="C141" s="70" t="str">
        <x:f>IF(AND(ISNUMBER(B140),ISNUMBER(B141)),ABS(B141-B140),"")</x:f>
      </x:c>
      <x:c r="D141" s="67" t="str">
        <x:f>IF(AND(ISNUMBER(B141),$H$12="計算可能"),IF(OR(B141&gt;$H$7,B141&lt;$H$8),"管理外",""),"")</x:f>
      </x:c>
      <x:c r="E141" s="67" t="str">
        <x:f>IF(AND(ISNUMBER(C141),$H$12="計算可能"),IF(OR(C141&gt;$L$7,C141&lt;$L$8),"管理外",""),"")</x:f>
      </x:c>
      <x:c r="F141" s="21"/>
      <x:c r="G141" s="102" t="e">
        <x:f>IF(72&lt;=$H$10,72,NA())</x:f>
        <x:v>#N/A</x:v>
      </x:c>
      <x:c r="H141" s="103" t="e">
        <x:f>IF(AND(ISNUMBER(B89),$H$12="計算可能"),B89,NA())</x:f>
        <x:v>#N/A</x:v>
      </x:c>
      <x:c r="I141" s="103" t="e">
        <x:f>IF(AND(72&lt;=$H$10,$H$12="計算可能"),$H$6,NA())</x:f>
        <x:v>#N/A</x:v>
      </x:c>
      <x:c r="J141" s="103" t="e">
        <x:f>IF(AND(72&lt;=$H$10,$H$12="計算可能"),$H$7,NA())</x:f>
        <x:v>#N/A</x:v>
      </x:c>
      <x:c r="K141" s="103" t="e">
        <x:f>IF(AND(72&lt;=$H$10,$H$12="計算可能"),$H$8,NA())</x:f>
        <x:v>#N/A</x:v>
      </x:c>
      <x:c r="L141" s="102" t="e">
        <x:f>IF(72&lt;=$H$10,72,NA())</x:f>
        <x:v>#N/A</x:v>
      </x:c>
      <x:c r="M141" s="103" t="e">
        <x:f>IF(AND(ISNUMBER(C89),$H$12="計算可能"),C89,NA())</x:f>
        <x:v>#N/A</x:v>
      </x:c>
      <x:c r="N141" s="103" t="e">
        <x:f>IF(AND(72&lt;=$H$10,$H$12="計算可能"),$L$6,NA())</x:f>
        <x:v>#N/A</x:v>
      </x:c>
      <x:c r="O141" s="103" t="e">
        <x:f>IF(AND(72&lt;=$H$10,$H$12="計算可能"),$L$7,NA())</x:f>
        <x:v>#N/A</x:v>
      </x:c>
      <x:c r="P141" s="103" t="e">
        <x:f>IF(AND(72&lt;=$H$10,$H$12="計算可能"),$L$8,NA())</x:f>
        <x:v>#N/A</x:v>
      </x:c>
      <x:c r="Q141" s="21"/>
    </x:row>
    <x:row r="142" ht="21" customHeight="1">
      <x:c r="A142" s="91" t="str">
        <x:f>IF(ISNUMBER(B142),125,"")</x:f>
      </x:c>
      <x:c r="B142" s="89"/>
      <x:c r="C142" s="70" t="str">
        <x:f>IF(AND(ISNUMBER(B141),ISNUMBER(B142)),ABS(B142-B141),"")</x:f>
      </x:c>
      <x:c r="D142" s="67" t="str">
        <x:f>IF(AND(ISNUMBER(B142),$H$12="計算可能"),IF(OR(B142&gt;$H$7,B142&lt;$H$8),"管理外",""),"")</x:f>
      </x:c>
      <x:c r="E142" s="67" t="str">
        <x:f>IF(AND(ISNUMBER(C142),$H$12="計算可能"),IF(OR(C142&gt;$L$7,C142&lt;$L$8),"管理外",""),"")</x:f>
      </x:c>
      <x:c r="F142" s="21"/>
      <x:c r="G142" s="102" t="e">
        <x:f>IF(73&lt;=$H$10,73,NA())</x:f>
        <x:v>#N/A</x:v>
      </x:c>
      <x:c r="H142" s="103" t="e">
        <x:f>IF(AND(ISNUMBER(B90),$H$12="計算可能"),B90,NA())</x:f>
        <x:v>#N/A</x:v>
      </x:c>
      <x:c r="I142" s="103" t="e">
        <x:f>IF(AND(73&lt;=$H$10,$H$12="計算可能"),$H$6,NA())</x:f>
        <x:v>#N/A</x:v>
      </x:c>
      <x:c r="J142" s="103" t="e">
        <x:f>IF(AND(73&lt;=$H$10,$H$12="計算可能"),$H$7,NA())</x:f>
        <x:v>#N/A</x:v>
      </x:c>
      <x:c r="K142" s="103" t="e">
        <x:f>IF(AND(73&lt;=$H$10,$H$12="計算可能"),$H$8,NA())</x:f>
        <x:v>#N/A</x:v>
      </x:c>
      <x:c r="L142" s="102" t="e">
        <x:f>IF(73&lt;=$H$10,73,NA())</x:f>
        <x:v>#N/A</x:v>
      </x:c>
      <x:c r="M142" s="103" t="e">
        <x:f>IF(AND(ISNUMBER(C90),$H$12="計算可能"),C90,NA())</x:f>
        <x:v>#N/A</x:v>
      </x:c>
      <x:c r="N142" s="103" t="e">
        <x:f>IF(AND(73&lt;=$H$10,$H$12="計算可能"),$L$6,NA())</x:f>
        <x:v>#N/A</x:v>
      </x:c>
      <x:c r="O142" s="103" t="e">
        <x:f>IF(AND(73&lt;=$H$10,$H$12="計算可能"),$L$7,NA())</x:f>
        <x:v>#N/A</x:v>
      </x:c>
      <x:c r="P142" s="103" t="e">
        <x:f>IF(AND(73&lt;=$H$10,$H$12="計算可能"),$L$8,NA())</x:f>
        <x:v>#N/A</x:v>
      </x:c>
      <x:c r="Q142" s="21"/>
    </x:row>
    <x:row r="143" ht="21" customHeight="1">
      <x:c r="A143" s="91" t="str">
        <x:f>IF(ISNUMBER(B143),126,"")</x:f>
      </x:c>
      <x:c r="B143" s="89"/>
      <x:c r="C143" s="70" t="str">
        <x:f>IF(AND(ISNUMBER(B142),ISNUMBER(B143)),ABS(B143-B142),"")</x:f>
      </x:c>
      <x:c r="D143" s="67" t="str">
        <x:f>IF(AND(ISNUMBER(B143),$H$12="計算可能"),IF(OR(B143&gt;$H$7,B143&lt;$H$8),"管理外",""),"")</x:f>
      </x:c>
      <x:c r="E143" s="67" t="str">
        <x:f>IF(AND(ISNUMBER(C143),$H$12="計算可能"),IF(OR(C143&gt;$L$7,C143&lt;$L$8),"管理外",""),"")</x:f>
      </x:c>
      <x:c r="F143" s="21"/>
      <x:c r="G143" s="102" t="e">
        <x:f>IF(74&lt;=$H$10,74,NA())</x:f>
        <x:v>#N/A</x:v>
      </x:c>
      <x:c r="H143" s="103" t="e">
        <x:f>IF(AND(ISNUMBER(B91),$H$12="計算可能"),B91,NA())</x:f>
        <x:v>#N/A</x:v>
      </x:c>
      <x:c r="I143" s="103" t="e">
        <x:f>IF(AND(74&lt;=$H$10,$H$12="計算可能"),$H$6,NA())</x:f>
        <x:v>#N/A</x:v>
      </x:c>
      <x:c r="J143" s="103" t="e">
        <x:f>IF(AND(74&lt;=$H$10,$H$12="計算可能"),$H$7,NA())</x:f>
        <x:v>#N/A</x:v>
      </x:c>
      <x:c r="K143" s="103" t="e">
        <x:f>IF(AND(74&lt;=$H$10,$H$12="計算可能"),$H$8,NA())</x:f>
        <x:v>#N/A</x:v>
      </x:c>
      <x:c r="L143" s="102" t="e">
        <x:f>IF(74&lt;=$H$10,74,NA())</x:f>
        <x:v>#N/A</x:v>
      </x:c>
      <x:c r="M143" s="103" t="e">
        <x:f>IF(AND(ISNUMBER(C91),$H$12="計算可能"),C91,NA())</x:f>
        <x:v>#N/A</x:v>
      </x:c>
      <x:c r="N143" s="103" t="e">
        <x:f>IF(AND(74&lt;=$H$10,$H$12="計算可能"),$L$6,NA())</x:f>
        <x:v>#N/A</x:v>
      </x:c>
      <x:c r="O143" s="103" t="e">
        <x:f>IF(AND(74&lt;=$H$10,$H$12="計算可能"),$L$7,NA())</x:f>
        <x:v>#N/A</x:v>
      </x:c>
      <x:c r="P143" s="103" t="e">
        <x:f>IF(AND(74&lt;=$H$10,$H$12="計算可能"),$L$8,NA())</x:f>
        <x:v>#N/A</x:v>
      </x:c>
      <x:c r="Q143" s="21"/>
    </x:row>
    <x:row r="144" ht="21" customHeight="1">
      <x:c r="A144" s="91" t="str">
        <x:f>IF(ISNUMBER(B144),127,"")</x:f>
      </x:c>
      <x:c r="B144" s="89"/>
      <x:c r="C144" s="70" t="str">
        <x:f>IF(AND(ISNUMBER(B143),ISNUMBER(B144)),ABS(B144-B143),"")</x:f>
      </x:c>
      <x:c r="D144" s="67" t="str">
        <x:f>IF(AND(ISNUMBER(B144),$H$12="計算可能"),IF(OR(B144&gt;$H$7,B144&lt;$H$8),"管理外",""),"")</x:f>
      </x:c>
      <x:c r="E144" s="67" t="str">
        <x:f>IF(AND(ISNUMBER(C144),$H$12="計算可能"),IF(OR(C144&gt;$L$7,C144&lt;$L$8),"管理外",""),"")</x:f>
      </x:c>
      <x:c r="F144" s="21"/>
      <x:c r="G144" s="102" t="e">
        <x:f>IF(75&lt;=$H$10,75,NA())</x:f>
        <x:v>#N/A</x:v>
      </x:c>
      <x:c r="H144" s="103" t="e">
        <x:f>IF(AND(ISNUMBER(B92),$H$12="計算可能"),B92,NA())</x:f>
        <x:v>#N/A</x:v>
      </x:c>
      <x:c r="I144" s="103" t="e">
        <x:f>IF(AND(75&lt;=$H$10,$H$12="計算可能"),$H$6,NA())</x:f>
        <x:v>#N/A</x:v>
      </x:c>
      <x:c r="J144" s="103" t="e">
        <x:f>IF(AND(75&lt;=$H$10,$H$12="計算可能"),$H$7,NA())</x:f>
        <x:v>#N/A</x:v>
      </x:c>
      <x:c r="K144" s="103" t="e">
        <x:f>IF(AND(75&lt;=$H$10,$H$12="計算可能"),$H$8,NA())</x:f>
        <x:v>#N/A</x:v>
      </x:c>
      <x:c r="L144" s="102" t="e">
        <x:f>IF(75&lt;=$H$10,75,NA())</x:f>
        <x:v>#N/A</x:v>
      </x:c>
      <x:c r="M144" s="103" t="e">
        <x:f>IF(AND(ISNUMBER(C92),$H$12="計算可能"),C92,NA())</x:f>
        <x:v>#N/A</x:v>
      </x:c>
      <x:c r="N144" s="103" t="e">
        <x:f>IF(AND(75&lt;=$H$10,$H$12="計算可能"),$L$6,NA())</x:f>
        <x:v>#N/A</x:v>
      </x:c>
      <x:c r="O144" s="103" t="e">
        <x:f>IF(AND(75&lt;=$H$10,$H$12="計算可能"),$L$7,NA())</x:f>
        <x:v>#N/A</x:v>
      </x:c>
      <x:c r="P144" s="103" t="e">
        <x:f>IF(AND(75&lt;=$H$10,$H$12="計算可能"),$L$8,NA())</x:f>
        <x:v>#N/A</x:v>
      </x:c>
      <x:c r="Q144" s="21"/>
    </x:row>
    <x:row r="145" ht="21" customHeight="1">
      <x:c r="A145" s="91" t="str">
        <x:f>IF(ISNUMBER(B145),128,"")</x:f>
      </x:c>
      <x:c r="B145" s="89"/>
      <x:c r="C145" s="70" t="str">
        <x:f>IF(AND(ISNUMBER(B144),ISNUMBER(B145)),ABS(B145-B144),"")</x:f>
      </x:c>
      <x:c r="D145" s="67" t="str">
        <x:f>IF(AND(ISNUMBER(B145),$H$12="計算可能"),IF(OR(B145&gt;$H$7,B145&lt;$H$8),"管理外",""),"")</x:f>
      </x:c>
      <x:c r="E145" s="67" t="str">
        <x:f>IF(AND(ISNUMBER(C145),$H$12="計算可能"),IF(OR(C145&gt;$L$7,C145&lt;$L$8),"管理外",""),"")</x:f>
      </x:c>
      <x:c r="F145" s="21"/>
      <x:c r="G145" s="102" t="e">
        <x:f>IF(76&lt;=$H$10,76,NA())</x:f>
        <x:v>#N/A</x:v>
      </x:c>
      <x:c r="H145" s="103" t="e">
        <x:f>IF(AND(ISNUMBER(B93),$H$12="計算可能"),B93,NA())</x:f>
        <x:v>#N/A</x:v>
      </x:c>
      <x:c r="I145" s="103" t="e">
        <x:f>IF(AND(76&lt;=$H$10,$H$12="計算可能"),$H$6,NA())</x:f>
        <x:v>#N/A</x:v>
      </x:c>
      <x:c r="J145" s="103" t="e">
        <x:f>IF(AND(76&lt;=$H$10,$H$12="計算可能"),$H$7,NA())</x:f>
        <x:v>#N/A</x:v>
      </x:c>
      <x:c r="K145" s="103" t="e">
        <x:f>IF(AND(76&lt;=$H$10,$H$12="計算可能"),$H$8,NA())</x:f>
        <x:v>#N/A</x:v>
      </x:c>
      <x:c r="L145" s="102" t="e">
        <x:f>IF(76&lt;=$H$10,76,NA())</x:f>
        <x:v>#N/A</x:v>
      </x:c>
      <x:c r="M145" s="103" t="e">
        <x:f>IF(AND(ISNUMBER(C93),$H$12="計算可能"),C93,NA())</x:f>
        <x:v>#N/A</x:v>
      </x:c>
      <x:c r="N145" s="103" t="e">
        <x:f>IF(AND(76&lt;=$H$10,$H$12="計算可能"),$L$6,NA())</x:f>
        <x:v>#N/A</x:v>
      </x:c>
      <x:c r="O145" s="103" t="e">
        <x:f>IF(AND(76&lt;=$H$10,$H$12="計算可能"),$L$7,NA())</x:f>
        <x:v>#N/A</x:v>
      </x:c>
      <x:c r="P145" s="103" t="e">
        <x:f>IF(AND(76&lt;=$H$10,$H$12="計算可能"),$L$8,NA())</x:f>
        <x:v>#N/A</x:v>
      </x:c>
      <x:c r="Q145" s="21"/>
    </x:row>
    <x:row r="146" ht="21" customHeight="1">
      <x:c r="A146" s="91" t="str">
        <x:f>IF(ISNUMBER(B146),129,"")</x:f>
      </x:c>
      <x:c r="B146" s="89"/>
      <x:c r="C146" s="70" t="str">
        <x:f>IF(AND(ISNUMBER(B145),ISNUMBER(B146)),ABS(B146-B145),"")</x:f>
      </x:c>
      <x:c r="D146" s="67" t="str">
        <x:f>IF(AND(ISNUMBER(B146),$H$12="計算可能"),IF(OR(B146&gt;$H$7,B146&lt;$H$8),"管理外",""),"")</x:f>
      </x:c>
      <x:c r="E146" s="67" t="str">
        <x:f>IF(AND(ISNUMBER(C146),$H$12="計算可能"),IF(OR(C146&gt;$L$7,C146&lt;$L$8),"管理外",""),"")</x:f>
      </x:c>
      <x:c r="F146" s="21"/>
      <x:c r="G146" s="102" t="e">
        <x:f>IF(77&lt;=$H$10,77,NA())</x:f>
        <x:v>#N/A</x:v>
      </x:c>
      <x:c r="H146" s="103" t="e">
        <x:f>IF(AND(ISNUMBER(B94),$H$12="計算可能"),B94,NA())</x:f>
        <x:v>#N/A</x:v>
      </x:c>
      <x:c r="I146" s="103" t="e">
        <x:f>IF(AND(77&lt;=$H$10,$H$12="計算可能"),$H$6,NA())</x:f>
        <x:v>#N/A</x:v>
      </x:c>
      <x:c r="J146" s="103" t="e">
        <x:f>IF(AND(77&lt;=$H$10,$H$12="計算可能"),$H$7,NA())</x:f>
        <x:v>#N/A</x:v>
      </x:c>
      <x:c r="K146" s="103" t="e">
        <x:f>IF(AND(77&lt;=$H$10,$H$12="計算可能"),$H$8,NA())</x:f>
        <x:v>#N/A</x:v>
      </x:c>
      <x:c r="L146" s="102" t="e">
        <x:f>IF(77&lt;=$H$10,77,NA())</x:f>
        <x:v>#N/A</x:v>
      </x:c>
      <x:c r="M146" s="103" t="e">
        <x:f>IF(AND(ISNUMBER(C94),$H$12="計算可能"),C94,NA())</x:f>
        <x:v>#N/A</x:v>
      </x:c>
      <x:c r="N146" s="103" t="e">
        <x:f>IF(AND(77&lt;=$H$10,$H$12="計算可能"),$L$6,NA())</x:f>
        <x:v>#N/A</x:v>
      </x:c>
      <x:c r="O146" s="103" t="e">
        <x:f>IF(AND(77&lt;=$H$10,$H$12="計算可能"),$L$7,NA())</x:f>
        <x:v>#N/A</x:v>
      </x:c>
      <x:c r="P146" s="103" t="e">
        <x:f>IF(AND(77&lt;=$H$10,$H$12="計算可能"),$L$8,NA())</x:f>
        <x:v>#N/A</x:v>
      </x:c>
      <x:c r="Q146" s="21"/>
    </x:row>
    <x:row r="147" ht="21" customHeight="1">
      <x:c r="A147" s="91" t="str">
        <x:f>IF(ISNUMBER(B147),130,"")</x:f>
      </x:c>
      <x:c r="B147" s="89"/>
      <x:c r="C147" s="70" t="str">
        <x:f>IF(AND(ISNUMBER(B146),ISNUMBER(B147)),ABS(B147-B146),"")</x:f>
      </x:c>
      <x:c r="D147" s="67" t="str">
        <x:f>IF(AND(ISNUMBER(B147),$H$12="計算可能"),IF(OR(B147&gt;$H$7,B147&lt;$H$8),"管理外",""),"")</x:f>
      </x:c>
      <x:c r="E147" s="67" t="str">
        <x:f>IF(AND(ISNUMBER(C147),$H$12="計算可能"),IF(OR(C147&gt;$L$7,C147&lt;$L$8),"管理外",""),"")</x:f>
      </x:c>
      <x:c r="F147" s="21"/>
      <x:c r="G147" s="102" t="e">
        <x:f>IF(78&lt;=$H$10,78,NA())</x:f>
        <x:v>#N/A</x:v>
      </x:c>
      <x:c r="H147" s="103" t="e">
        <x:f>IF(AND(ISNUMBER(B95),$H$12="計算可能"),B95,NA())</x:f>
        <x:v>#N/A</x:v>
      </x:c>
      <x:c r="I147" s="103" t="e">
        <x:f>IF(AND(78&lt;=$H$10,$H$12="計算可能"),$H$6,NA())</x:f>
        <x:v>#N/A</x:v>
      </x:c>
      <x:c r="J147" s="103" t="e">
        <x:f>IF(AND(78&lt;=$H$10,$H$12="計算可能"),$H$7,NA())</x:f>
        <x:v>#N/A</x:v>
      </x:c>
      <x:c r="K147" s="103" t="e">
        <x:f>IF(AND(78&lt;=$H$10,$H$12="計算可能"),$H$8,NA())</x:f>
        <x:v>#N/A</x:v>
      </x:c>
      <x:c r="L147" s="102" t="e">
        <x:f>IF(78&lt;=$H$10,78,NA())</x:f>
        <x:v>#N/A</x:v>
      </x:c>
      <x:c r="M147" s="103" t="e">
        <x:f>IF(AND(ISNUMBER(C95),$H$12="計算可能"),C95,NA())</x:f>
        <x:v>#N/A</x:v>
      </x:c>
      <x:c r="N147" s="103" t="e">
        <x:f>IF(AND(78&lt;=$H$10,$H$12="計算可能"),$L$6,NA())</x:f>
        <x:v>#N/A</x:v>
      </x:c>
      <x:c r="O147" s="103" t="e">
        <x:f>IF(AND(78&lt;=$H$10,$H$12="計算可能"),$L$7,NA())</x:f>
        <x:v>#N/A</x:v>
      </x:c>
      <x:c r="P147" s="103" t="e">
        <x:f>IF(AND(78&lt;=$H$10,$H$12="計算可能"),$L$8,NA())</x:f>
        <x:v>#N/A</x:v>
      </x:c>
      <x:c r="Q147" s="21"/>
    </x:row>
    <x:row r="148" ht="21" customHeight="1">
      <x:c r="A148" s="91" t="str">
        <x:f>IF(ISNUMBER(B148),131,"")</x:f>
      </x:c>
      <x:c r="B148" s="89"/>
      <x:c r="C148" s="70" t="str">
        <x:f>IF(AND(ISNUMBER(B147),ISNUMBER(B148)),ABS(B148-B147),"")</x:f>
      </x:c>
      <x:c r="D148" s="67" t="str">
        <x:f>IF(AND(ISNUMBER(B148),$H$12="計算可能"),IF(OR(B148&gt;$H$7,B148&lt;$H$8),"管理外",""),"")</x:f>
      </x:c>
      <x:c r="E148" s="67" t="str">
        <x:f>IF(AND(ISNUMBER(C148),$H$12="計算可能"),IF(OR(C148&gt;$L$7,C148&lt;$L$8),"管理外",""),"")</x:f>
      </x:c>
      <x:c r="F148" s="21"/>
      <x:c r="G148" s="102" t="e">
        <x:f>IF(79&lt;=$H$10,79,NA())</x:f>
        <x:v>#N/A</x:v>
      </x:c>
      <x:c r="H148" s="103" t="e">
        <x:f>IF(AND(ISNUMBER(B96),$H$12="計算可能"),B96,NA())</x:f>
        <x:v>#N/A</x:v>
      </x:c>
      <x:c r="I148" s="103" t="e">
        <x:f>IF(AND(79&lt;=$H$10,$H$12="計算可能"),$H$6,NA())</x:f>
        <x:v>#N/A</x:v>
      </x:c>
      <x:c r="J148" s="103" t="e">
        <x:f>IF(AND(79&lt;=$H$10,$H$12="計算可能"),$H$7,NA())</x:f>
        <x:v>#N/A</x:v>
      </x:c>
      <x:c r="K148" s="103" t="e">
        <x:f>IF(AND(79&lt;=$H$10,$H$12="計算可能"),$H$8,NA())</x:f>
        <x:v>#N/A</x:v>
      </x:c>
      <x:c r="L148" s="102" t="e">
        <x:f>IF(79&lt;=$H$10,79,NA())</x:f>
        <x:v>#N/A</x:v>
      </x:c>
      <x:c r="M148" s="103" t="e">
        <x:f>IF(AND(ISNUMBER(C96),$H$12="計算可能"),C96,NA())</x:f>
        <x:v>#N/A</x:v>
      </x:c>
      <x:c r="N148" s="103" t="e">
        <x:f>IF(AND(79&lt;=$H$10,$H$12="計算可能"),$L$6,NA())</x:f>
        <x:v>#N/A</x:v>
      </x:c>
      <x:c r="O148" s="103" t="e">
        <x:f>IF(AND(79&lt;=$H$10,$H$12="計算可能"),$L$7,NA())</x:f>
        <x:v>#N/A</x:v>
      </x:c>
      <x:c r="P148" s="103" t="e">
        <x:f>IF(AND(79&lt;=$H$10,$H$12="計算可能"),$L$8,NA())</x:f>
        <x:v>#N/A</x:v>
      </x:c>
      <x:c r="Q148" s="21"/>
    </x:row>
    <x:row r="149" ht="21" customHeight="1">
      <x:c r="A149" s="91" t="str">
        <x:f>IF(ISNUMBER(B149),132,"")</x:f>
      </x:c>
      <x:c r="B149" s="89"/>
      <x:c r="C149" s="70" t="str">
        <x:f>IF(AND(ISNUMBER(B148),ISNUMBER(B149)),ABS(B149-B148),"")</x:f>
      </x:c>
      <x:c r="D149" s="67" t="str">
        <x:f>IF(AND(ISNUMBER(B149),$H$12="計算可能"),IF(OR(B149&gt;$H$7,B149&lt;$H$8),"管理外",""),"")</x:f>
      </x:c>
      <x:c r="E149" s="67" t="str">
        <x:f>IF(AND(ISNUMBER(C149),$H$12="計算可能"),IF(OR(C149&gt;$L$7,C149&lt;$L$8),"管理外",""),"")</x:f>
      </x:c>
      <x:c r="F149" s="21"/>
      <x:c r="G149" s="102" t="e">
        <x:f>IF(80&lt;=$H$10,80,NA())</x:f>
        <x:v>#N/A</x:v>
      </x:c>
      <x:c r="H149" s="103" t="e">
        <x:f>IF(AND(ISNUMBER(B97),$H$12="計算可能"),B97,NA())</x:f>
        <x:v>#N/A</x:v>
      </x:c>
      <x:c r="I149" s="103" t="e">
        <x:f>IF(AND(80&lt;=$H$10,$H$12="計算可能"),$H$6,NA())</x:f>
        <x:v>#N/A</x:v>
      </x:c>
      <x:c r="J149" s="103" t="e">
        <x:f>IF(AND(80&lt;=$H$10,$H$12="計算可能"),$H$7,NA())</x:f>
        <x:v>#N/A</x:v>
      </x:c>
      <x:c r="K149" s="103" t="e">
        <x:f>IF(AND(80&lt;=$H$10,$H$12="計算可能"),$H$8,NA())</x:f>
        <x:v>#N/A</x:v>
      </x:c>
      <x:c r="L149" s="102" t="e">
        <x:f>IF(80&lt;=$H$10,80,NA())</x:f>
        <x:v>#N/A</x:v>
      </x:c>
      <x:c r="M149" s="103" t="e">
        <x:f>IF(AND(ISNUMBER(C97),$H$12="計算可能"),C97,NA())</x:f>
        <x:v>#N/A</x:v>
      </x:c>
      <x:c r="N149" s="103" t="e">
        <x:f>IF(AND(80&lt;=$H$10,$H$12="計算可能"),$L$6,NA())</x:f>
        <x:v>#N/A</x:v>
      </x:c>
      <x:c r="O149" s="103" t="e">
        <x:f>IF(AND(80&lt;=$H$10,$H$12="計算可能"),$L$7,NA())</x:f>
        <x:v>#N/A</x:v>
      </x:c>
      <x:c r="P149" s="103" t="e">
        <x:f>IF(AND(80&lt;=$H$10,$H$12="計算可能"),$L$8,NA())</x:f>
        <x:v>#N/A</x:v>
      </x:c>
      <x:c r="Q149" s="21"/>
    </x:row>
    <x:row r="150" ht="21" customHeight="1">
      <x:c r="A150" s="91" t="str">
        <x:f>IF(ISNUMBER(B150),133,"")</x:f>
      </x:c>
      <x:c r="B150" s="89"/>
      <x:c r="C150" s="70" t="str">
        <x:f>IF(AND(ISNUMBER(B149),ISNUMBER(B150)),ABS(B150-B149),"")</x:f>
      </x:c>
      <x:c r="D150" s="67" t="str">
        <x:f>IF(AND(ISNUMBER(B150),$H$12="計算可能"),IF(OR(B150&gt;$H$7,B150&lt;$H$8),"管理外",""),"")</x:f>
      </x:c>
      <x:c r="E150" s="67" t="str">
        <x:f>IF(AND(ISNUMBER(C150),$H$12="計算可能"),IF(OR(C150&gt;$L$7,C150&lt;$L$8),"管理外",""),"")</x:f>
      </x:c>
      <x:c r="F150" s="21"/>
      <x:c r="G150" s="102" t="e">
        <x:f>IF(81&lt;=$H$10,81,NA())</x:f>
        <x:v>#N/A</x:v>
      </x:c>
      <x:c r="H150" s="103" t="e">
        <x:f>IF(AND(ISNUMBER(B98),$H$12="計算可能"),B98,NA())</x:f>
        <x:v>#N/A</x:v>
      </x:c>
      <x:c r="I150" s="103" t="e">
        <x:f>IF(AND(81&lt;=$H$10,$H$12="計算可能"),$H$6,NA())</x:f>
        <x:v>#N/A</x:v>
      </x:c>
      <x:c r="J150" s="103" t="e">
        <x:f>IF(AND(81&lt;=$H$10,$H$12="計算可能"),$H$7,NA())</x:f>
        <x:v>#N/A</x:v>
      </x:c>
      <x:c r="K150" s="103" t="e">
        <x:f>IF(AND(81&lt;=$H$10,$H$12="計算可能"),$H$8,NA())</x:f>
        <x:v>#N/A</x:v>
      </x:c>
      <x:c r="L150" s="102" t="e">
        <x:f>IF(81&lt;=$H$10,81,NA())</x:f>
        <x:v>#N/A</x:v>
      </x:c>
      <x:c r="M150" s="103" t="e">
        <x:f>IF(AND(ISNUMBER(C98),$H$12="計算可能"),C98,NA())</x:f>
        <x:v>#N/A</x:v>
      </x:c>
      <x:c r="N150" s="103" t="e">
        <x:f>IF(AND(81&lt;=$H$10,$H$12="計算可能"),$L$6,NA())</x:f>
        <x:v>#N/A</x:v>
      </x:c>
      <x:c r="O150" s="103" t="e">
        <x:f>IF(AND(81&lt;=$H$10,$H$12="計算可能"),$L$7,NA())</x:f>
        <x:v>#N/A</x:v>
      </x:c>
      <x:c r="P150" s="103" t="e">
        <x:f>IF(AND(81&lt;=$H$10,$H$12="計算可能"),$L$8,NA())</x:f>
        <x:v>#N/A</x:v>
      </x:c>
      <x:c r="Q150" s="21"/>
    </x:row>
    <x:row r="151" ht="21" customHeight="1">
      <x:c r="A151" s="91" t="str">
        <x:f>IF(ISNUMBER(B151),134,"")</x:f>
      </x:c>
      <x:c r="B151" s="89"/>
      <x:c r="C151" s="70" t="str">
        <x:f>IF(AND(ISNUMBER(B150),ISNUMBER(B151)),ABS(B151-B150),"")</x:f>
      </x:c>
      <x:c r="D151" s="67" t="str">
        <x:f>IF(AND(ISNUMBER(B151),$H$12="計算可能"),IF(OR(B151&gt;$H$7,B151&lt;$H$8),"管理外",""),"")</x:f>
      </x:c>
      <x:c r="E151" s="67" t="str">
        <x:f>IF(AND(ISNUMBER(C151),$H$12="計算可能"),IF(OR(C151&gt;$L$7,C151&lt;$L$8),"管理外",""),"")</x:f>
      </x:c>
      <x:c r="F151" s="21"/>
      <x:c r="G151" s="102" t="e">
        <x:f>IF(82&lt;=$H$10,82,NA())</x:f>
        <x:v>#N/A</x:v>
      </x:c>
      <x:c r="H151" s="103" t="e">
        <x:f>IF(AND(ISNUMBER(B99),$H$12="計算可能"),B99,NA())</x:f>
        <x:v>#N/A</x:v>
      </x:c>
      <x:c r="I151" s="103" t="e">
        <x:f>IF(AND(82&lt;=$H$10,$H$12="計算可能"),$H$6,NA())</x:f>
        <x:v>#N/A</x:v>
      </x:c>
      <x:c r="J151" s="103" t="e">
        <x:f>IF(AND(82&lt;=$H$10,$H$12="計算可能"),$H$7,NA())</x:f>
        <x:v>#N/A</x:v>
      </x:c>
      <x:c r="K151" s="103" t="e">
        <x:f>IF(AND(82&lt;=$H$10,$H$12="計算可能"),$H$8,NA())</x:f>
        <x:v>#N/A</x:v>
      </x:c>
      <x:c r="L151" s="102" t="e">
        <x:f>IF(82&lt;=$H$10,82,NA())</x:f>
        <x:v>#N/A</x:v>
      </x:c>
      <x:c r="M151" s="103" t="e">
        <x:f>IF(AND(ISNUMBER(C99),$H$12="計算可能"),C99,NA())</x:f>
        <x:v>#N/A</x:v>
      </x:c>
      <x:c r="N151" s="103" t="e">
        <x:f>IF(AND(82&lt;=$H$10,$H$12="計算可能"),$L$6,NA())</x:f>
        <x:v>#N/A</x:v>
      </x:c>
      <x:c r="O151" s="103" t="e">
        <x:f>IF(AND(82&lt;=$H$10,$H$12="計算可能"),$L$7,NA())</x:f>
        <x:v>#N/A</x:v>
      </x:c>
      <x:c r="P151" s="103" t="e">
        <x:f>IF(AND(82&lt;=$H$10,$H$12="計算可能"),$L$8,NA())</x:f>
        <x:v>#N/A</x:v>
      </x:c>
      <x:c r="Q151" s="21"/>
    </x:row>
    <x:row r="152" ht="21" customHeight="1">
      <x:c r="A152" s="91" t="str">
        <x:f>IF(ISNUMBER(B152),135,"")</x:f>
      </x:c>
      <x:c r="B152" s="89"/>
      <x:c r="C152" s="70" t="str">
        <x:f>IF(AND(ISNUMBER(B151),ISNUMBER(B152)),ABS(B152-B151),"")</x:f>
      </x:c>
      <x:c r="D152" s="67" t="str">
        <x:f>IF(AND(ISNUMBER(B152),$H$12="計算可能"),IF(OR(B152&gt;$H$7,B152&lt;$H$8),"管理外",""),"")</x:f>
      </x:c>
      <x:c r="E152" s="67" t="str">
        <x:f>IF(AND(ISNUMBER(C152),$H$12="計算可能"),IF(OR(C152&gt;$L$7,C152&lt;$L$8),"管理外",""),"")</x:f>
      </x:c>
      <x:c r="F152" s="21"/>
      <x:c r="G152" s="102" t="e">
        <x:f>IF(83&lt;=$H$10,83,NA())</x:f>
        <x:v>#N/A</x:v>
      </x:c>
      <x:c r="H152" s="103" t="e">
        <x:f>IF(AND(ISNUMBER(B100),$H$12="計算可能"),B100,NA())</x:f>
        <x:v>#N/A</x:v>
      </x:c>
      <x:c r="I152" s="103" t="e">
        <x:f>IF(AND(83&lt;=$H$10,$H$12="計算可能"),$H$6,NA())</x:f>
        <x:v>#N/A</x:v>
      </x:c>
      <x:c r="J152" s="103" t="e">
        <x:f>IF(AND(83&lt;=$H$10,$H$12="計算可能"),$H$7,NA())</x:f>
        <x:v>#N/A</x:v>
      </x:c>
      <x:c r="K152" s="103" t="e">
        <x:f>IF(AND(83&lt;=$H$10,$H$12="計算可能"),$H$8,NA())</x:f>
        <x:v>#N/A</x:v>
      </x:c>
      <x:c r="L152" s="102" t="e">
        <x:f>IF(83&lt;=$H$10,83,NA())</x:f>
        <x:v>#N/A</x:v>
      </x:c>
      <x:c r="M152" s="103" t="e">
        <x:f>IF(AND(ISNUMBER(C100),$H$12="計算可能"),C100,NA())</x:f>
        <x:v>#N/A</x:v>
      </x:c>
      <x:c r="N152" s="103" t="e">
        <x:f>IF(AND(83&lt;=$H$10,$H$12="計算可能"),$L$6,NA())</x:f>
        <x:v>#N/A</x:v>
      </x:c>
      <x:c r="O152" s="103" t="e">
        <x:f>IF(AND(83&lt;=$H$10,$H$12="計算可能"),$L$7,NA())</x:f>
        <x:v>#N/A</x:v>
      </x:c>
      <x:c r="P152" s="103" t="e">
        <x:f>IF(AND(83&lt;=$H$10,$H$12="計算可能"),$L$8,NA())</x:f>
        <x:v>#N/A</x:v>
      </x:c>
      <x:c r="Q152" s="21"/>
    </x:row>
    <x:row r="153" ht="21" customHeight="1">
      <x:c r="A153" s="91" t="str">
        <x:f>IF(ISNUMBER(B153),136,"")</x:f>
      </x:c>
      <x:c r="B153" s="89"/>
      <x:c r="C153" s="70" t="str">
        <x:f>IF(AND(ISNUMBER(B152),ISNUMBER(B153)),ABS(B153-B152),"")</x:f>
      </x:c>
      <x:c r="D153" s="67" t="str">
        <x:f>IF(AND(ISNUMBER(B153),$H$12="計算可能"),IF(OR(B153&gt;$H$7,B153&lt;$H$8),"管理外",""),"")</x:f>
      </x:c>
      <x:c r="E153" s="67" t="str">
        <x:f>IF(AND(ISNUMBER(C153),$H$12="計算可能"),IF(OR(C153&gt;$L$7,C153&lt;$L$8),"管理外",""),"")</x:f>
      </x:c>
      <x:c r="F153" s="21"/>
      <x:c r="G153" s="102" t="e">
        <x:f>IF(84&lt;=$H$10,84,NA())</x:f>
        <x:v>#N/A</x:v>
      </x:c>
      <x:c r="H153" s="103" t="e">
        <x:f>IF(AND(ISNUMBER(B101),$H$12="計算可能"),B101,NA())</x:f>
        <x:v>#N/A</x:v>
      </x:c>
      <x:c r="I153" s="103" t="e">
        <x:f>IF(AND(84&lt;=$H$10,$H$12="計算可能"),$H$6,NA())</x:f>
        <x:v>#N/A</x:v>
      </x:c>
      <x:c r="J153" s="103" t="e">
        <x:f>IF(AND(84&lt;=$H$10,$H$12="計算可能"),$H$7,NA())</x:f>
        <x:v>#N/A</x:v>
      </x:c>
      <x:c r="K153" s="103" t="e">
        <x:f>IF(AND(84&lt;=$H$10,$H$12="計算可能"),$H$8,NA())</x:f>
        <x:v>#N/A</x:v>
      </x:c>
      <x:c r="L153" s="102" t="e">
        <x:f>IF(84&lt;=$H$10,84,NA())</x:f>
        <x:v>#N/A</x:v>
      </x:c>
      <x:c r="M153" s="103" t="e">
        <x:f>IF(AND(ISNUMBER(C101),$H$12="計算可能"),C101,NA())</x:f>
        <x:v>#N/A</x:v>
      </x:c>
      <x:c r="N153" s="103" t="e">
        <x:f>IF(AND(84&lt;=$H$10,$H$12="計算可能"),$L$6,NA())</x:f>
        <x:v>#N/A</x:v>
      </x:c>
      <x:c r="O153" s="103" t="e">
        <x:f>IF(AND(84&lt;=$H$10,$H$12="計算可能"),$L$7,NA())</x:f>
        <x:v>#N/A</x:v>
      </x:c>
      <x:c r="P153" s="103" t="e">
        <x:f>IF(AND(84&lt;=$H$10,$H$12="計算可能"),$L$8,NA())</x:f>
        <x:v>#N/A</x:v>
      </x:c>
      <x:c r="Q153" s="21"/>
    </x:row>
    <x:row r="154" ht="21" customHeight="1">
      <x:c r="A154" s="91" t="str">
        <x:f>IF(ISNUMBER(B154),137,"")</x:f>
      </x:c>
      <x:c r="B154" s="89"/>
      <x:c r="C154" s="70" t="str">
        <x:f>IF(AND(ISNUMBER(B153),ISNUMBER(B154)),ABS(B154-B153),"")</x:f>
      </x:c>
      <x:c r="D154" s="67" t="str">
        <x:f>IF(AND(ISNUMBER(B154),$H$12="計算可能"),IF(OR(B154&gt;$H$7,B154&lt;$H$8),"管理外",""),"")</x:f>
      </x:c>
      <x:c r="E154" s="67" t="str">
        <x:f>IF(AND(ISNUMBER(C154),$H$12="計算可能"),IF(OR(C154&gt;$L$7,C154&lt;$L$8),"管理外",""),"")</x:f>
      </x:c>
      <x:c r="F154" s="21"/>
      <x:c r="G154" s="102" t="e">
        <x:f>IF(85&lt;=$H$10,85,NA())</x:f>
        <x:v>#N/A</x:v>
      </x:c>
      <x:c r="H154" s="103" t="e">
        <x:f>IF(AND(ISNUMBER(B102),$H$12="計算可能"),B102,NA())</x:f>
        <x:v>#N/A</x:v>
      </x:c>
      <x:c r="I154" s="103" t="e">
        <x:f>IF(AND(85&lt;=$H$10,$H$12="計算可能"),$H$6,NA())</x:f>
        <x:v>#N/A</x:v>
      </x:c>
      <x:c r="J154" s="103" t="e">
        <x:f>IF(AND(85&lt;=$H$10,$H$12="計算可能"),$H$7,NA())</x:f>
        <x:v>#N/A</x:v>
      </x:c>
      <x:c r="K154" s="103" t="e">
        <x:f>IF(AND(85&lt;=$H$10,$H$12="計算可能"),$H$8,NA())</x:f>
        <x:v>#N/A</x:v>
      </x:c>
      <x:c r="L154" s="102" t="e">
        <x:f>IF(85&lt;=$H$10,85,NA())</x:f>
        <x:v>#N/A</x:v>
      </x:c>
      <x:c r="M154" s="103" t="e">
        <x:f>IF(AND(ISNUMBER(C102),$H$12="計算可能"),C102,NA())</x:f>
        <x:v>#N/A</x:v>
      </x:c>
      <x:c r="N154" s="103" t="e">
        <x:f>IF(AND(85&lt;=$H$10,$H$12="計算可能"),$L$6,NA())</x:f>
        <x:v>#N/A</x:v>
      </x:c>
      <x:c r="O154" s="103" t="e">
        <x:f>IF(AND(85&lt;=$H$10,$H$12="計算可能"),$L$7,NA())</x:f>
        <x:v>#N/A</x:v>
      </x:c>
      <x:c r="P154" s="103" t="e">
        <x:f>IF(AND(85&lt;=$H$10,$H$12="計算可能"),$L$8,NA())</x:f>
        <x:v>#N/A</x:v>
      </x:c>
      <x:c r="Q154" s="21"/>
    </x:row>
    <x:row r="155" ht="21" customHeight="1">
      <x:c r="A155" s="91" t="str">
        <x:f>IF(ISNUMBER(B155),138,"")</x:f>
      </x:c>
      <x:c r="B155" s="89"/>
      <x:c r="C155" s="70" t="str">
        <x:f>IF(AND(ISNUMBER(B154),ISNUMBER(B155)),ABS(B155-B154),"")</x:f>
      </x:c>
      <x:c r="D155" s="67" t="str">
        <x:f>IF(AND(ISNUMBER(B155),$H$12="計算可能"),IF(OR(B155&gt;$H$7,B155&lt;$H$8),"管理外",""),"")</x:f>
      </x:c>
      <x:c r="E155" s="67" t="str">
        <x:f>IF(AND(ISNUMBER(C155),$H$12="計算可能"),IF(OR(C155&gt;$L$7,C155&lt;$L$8),"管理外",""),"")</x:f>
      </x:c>
      <x:c r="F155" s="21"/>
      <x:c r="G155" s="102" t="e">
        <x:f>IF(86&lt;=$H$10,86,NA())</x:f>
        <x:v>#N/A</x:v>
      </x:c>
      <x:c r="H155" s="103" t="e">
        <x:f>IF(AND(ISNUMBER(B103),$H$12="計算可能"),B103,NA())</x:f>
        <x:v>#N/A</x:v>
      </x:c>
      <x:c r="I155" s="103" t="e">
        <x:f>IF(AND(86&lt;=$H$10,$H$12="計算可能"),$H$6,NA())</x:f>
        <x:v>#N/A</x:v>
      </x:c>
      <x:c r="J155" s="103" t="e">
        <x:f>IF(AND(86&lt;=$H$10,$H$12="計算可能"),$H$7,NA())</x:f>
        <x:v>#N/A</x:v>
      </x:c>
      <x:c r="K155" s="103" t="e">
        <x:f>IF(AND(86&lt;=$H$10,$H$12="計算可能"),$H$8,NA())</x:f>
        <x:v>#N/A</x:v>
      </x:c>
      <x:c r="L155" s="102" t="e">
        <x:f>IF(86&lt;=$H$10,86,NA())</x:f>
        <x:v>#N/A</x:v>
      </x:c>
      <x:c r="M155" s="103" t="e">
        <x:f>IF(AND(ISNUMBER(C103),$H$12="計算可能"),C103,NA())</x:f>
        <x:v>#N/A</x:v>
      </x:c>
      <x:c r="N155" s="103" t="e">
        <x:f>IF(AND(86&lt;=$H$10,$H$12="計算可能"),$L$6,NA())</x:f>
        <x:v>#N/A</x:v>
      </x:c>
      <x:c r="O155" s="103" t="e">
        <x:f>IF(AND(86&lt;=$H$10,$H$12="計算可能"),$L$7,NA())</x:f>
        <x:v>#N/A</x:v>
      </x:c>
      <x:c r="P155" s="103" t="e">
        <x:f>IF(AND(86&lt;=$H$10,$H$12="計算可能"),$L$8,NA())</x:f>
        <x:v>#N/A</x:v>
      </x:c>
      <x:c r="Q155" s="21"/>
    </x:row>
    <x:row r="156" ht="21" customHeight="1">
      <x:c r="A156" s="91" t="str">
        <x:f>IF(ISNUMBER(B156),139,"")</x:f>
      </x:c>
      <x:c r="B156" s="89"/>
      <x:c r="C156" s="70" t="str">
        <x:f>IF(AND(ISNUMBER(B155),ISNUMBER(B156)),ABS(B156-B155),"")</x:f>
      </x:c>
      <x:c r="D156" s="67" t="str">
        <x:f>IF(AND(ISNUMBER(B156),$H$12="計算可能"),IF(OR(B156&gt;$H$7,B156&lt;$H$8),"管理外",""),"")</x:f>
      </x:c>
      <x:c r="E156" s="67" t="str">
        <x:f>IF(AND(ISNUMBER(C156),$H$12="計算可能"),IF(OR(C156&gt;$L$7,C156&lt;$L$8),"管理外",""),"")</x:f>
      </x:c>
      <x:c r="F156" s="21"/>
      <x:c r="G156" s="102" t="e">
        <x:f>IF(87&lt;=$H$10,87,NA())</x:f>
        <x:v>#N/A</x:v>
      </x:c>
      <x:c r="H156" s="103" t="e">
        <x:f>IF(AND(ISNUMBER(B104),$H$12="計算可能"),B104,NA())</x:f>
        <x:v>#N/A</x:v>
      </x:c>
      <x:c r="I156" s="103" t="e">
        <x:f>IF(AND(87&lt;=$H$10,$H$12="計算可能"),$H$6,NA())</x:f>
        <x:v>#N/A</x:v>
      </x:c>
      <x:c r="J156" s="103" t="e">
        <x:f>IF(AND(87&lt;=$H$10,$H$12="計算可能"),$H$7,NA())</x:f>
        <x:v>#N/A</x:v>
      </x:c>
      <x:c r="K156" s="103" t="e">
        <x:f>IF(AND(87&lt;=$H$10,$H$12="計算可能"),$H$8,NA())</x:f>
        <x:v>#N/A</x:v>
      </x:c>
      <x:c r="L156" s="102" t="e">
        <x:f>IF(87&lt;=$H$10,87,NA())</x:f>
        <x:v>#N/A</x:v>
      </x:c>
      <x:c r="M156" s="103" t="e">
        <x:f>IF(AND(ISNUMBER(C104),$H$12="計算可能"),C104,NA())</x:f>
        <x:v>#N/A</x:v>
      </x:c>
      <x:c r="N156" s="103" t="e">
        <x:f>IF(AND(87&lt;=$H$10,$H$12="計算可能"),$L$6,NA())</x:f>
        <x:v>#N/A</x:v>
      </x:c>
      <x:c r="O156" s="103" t="e">
        <x:f>IF(AND(87&lt;=$H$10,$H$12="計算可能"),$L$7,NA())</x:f>
        <x:v>#N/A</x:v>
      </x:c>
      <x:c r="P156" s="103" t="e">
        <x:f>IF(AND(87&lt;=$H$10,$H$12="計算可能"),$L$8,NA())</x:f>
        <x:v>#N/A</x:v>
      </x:c>
      <x:c r="Q156" s="21"/>
    </x:row>
    <x:row r="157" ht="21" customHeight="1">
      <x:c r="A157" s="91" t="str">
        <x:f>IF(ISNUMBER(B157),140,"")</x:f>
      </x:c>
      <x:c r="B157" s="89"/>
      <x:c r="C157" s="70" t="str">
        <x:f>IF(AND(ISNUMBER(B156),ISNUMBER(B157)),ABS(B157-B156),"")</x:f>
      </x:c>
      <x:c r="D157" s="67" t="str">
        <x:f>IF(AND(ISNUMBER(B157),$H$12="計算可能"),IF(OR(B157&gt;$H$7,B157&lt;$H$8),"管理外",""),"")</x:f>
      </x:c>
      <x:c r="E157" s="67" t="str">
        <x:f>IF(AND(ISNUMBER(C157),$H$12="計算可能"),IF(OR(C157&gt;$L$7,C157&lt;$L$8),"管理外",""),"")</x:f>
      </x:c>
      <x:c r="F157" s="21"/>
      <x:c r="G157" s="102" t="e">
        <x:f>IF(88&lt;=$H$10,88,NA())</x:f>
        <x:v>#N/A</x:v>
      </x:c>
      <x:c r="H157" s="103" t="e">
        <x:f>IF(AND(ISNUMBER(B105),$H$12="計算可能"),B105,NA())</x:f>
        <x:v>#N/A</x:v>
      </x:c>
      <x:c r="I157" s="103" t="e">
        <x:f>IF(AND(88&lt;=$H$10,$H$12="計算可能"),$H$6,NA())</x:f>
        <x:v>#N/A</x:v>
      </x:c>
      <x:c r="J157" s="103" t="e">
        <x:f>IF(AND(88&lt;=$H$10,$H$12="計算可能"),$H$7,NA())</x:f>
        <x:v>#N/A</x:v>
      </x:c>
      <x:c r="K157" s="103" t="e">
        <x:f>IF(AND(88&lt;=$H$10,$H$12="計算可能"),$H$8,NA())</x:f>
        <x:v>#N/A</x:v>
      </x:c>
      <x:c r="L157" s="102" t="e">
        <x:f>IF(88&lt;=$H$10,88,NA())</x:f>
        <x:v>#N/A</x:v>
      </x:c>
      <x:c r="M157" s="103" t="e">
        <x:f>IF(AND(ISNUMBER(C105),$H$12="計算可能"),C105,NA())</x:f>
        <x:v>#N/A</x:v>
      </x:c>
      <x:c r="N157" s="103" t="e">
        <x:f>IF(AND(88&lt;=$H$10,$H$12="計算可能"),$L$6,NA())</x:f>
        <x:v>#N/A</x:v>
      </x:c>
      <x:c r="O157" s="103" t="e">
        <x:f>IF(AND(88&lt;=$H$10,$H$12="計算可能"),$L$7,NA())</x:f>
        <x:v>#N/A</x:v>
      </x:c>
      <x:c r="P157" s="103" t="e">
        <x:f>IF(AND(88&lt;=$H$10,$H$12="計算可能"),$L$8,NA())</x:f>
        <x:v>#N/A</x:v>
      </x:c>
      <x:c r="Q157" s="21"/>
    </x:row>
    <x:row r="158" ht="21" customHeight="1">
      <x:c r="A158" s="91" t="str">
        <x:f>IF(ISNUMBER(B158),141,"")</x:f>
      </x:c>
      <x:c r="B158" s="89"/>
      <x:c r="C158" s="70" t="str">
        <x:f>IF(AND(ISNUMBER(B157),ISNUMBER(B158)),ABS(B158-B157),"")</x:f>
      </x:c>
      <x:c r="D158" s="67" t="str">
        <x:f>IF(AND(ISNUMBER(B158),$H$12="計算可能"),IF(OR(B158&gt;$H$7,B158&lt;$H$8),"管理外",""),"")</x:f>
      </x:c>
      <x:c r="E158" s="67" t="str">
        <x:f>IF(AND(ISNUMBER(C158),$H$12="計算可能"),IF(OR(C158&gt;$L$7,C158&lt;$L$8),"管理外",""),"")</x:f>
      </x:c>
      <x:c r="F158" s="21"/>
      <x:c r="G158" s="102" t="e">
        <x:f>IF(89&lt;=$H$10,89,NA())</x:f>
        <x:v>#N/A</x:v>
      </x:c>
      <x:c r="H158" s="103" t="e">
        <x:f>IF(AND(ISNUMBER(B106),$H$12="計算可能"),B106,NA())</x:f>
        <x:v>#N/A</x:v>
      </x:c>
      <x:c r="I158" s="103" t="e">
        <x:f>IF(AND(89&lt;=$H$10,$H$12="計算可能"),$H$6,NA())</x:f>
        <x:v>#N/A</x:v>
      </x:c>
      <x:c r="J158" s="103" t="e">
        <x:f>IF(AND(89&lt;=$H$10,$H$12="計算可能"),$H$7,NA())</x:f>
        <x:v>#N/A</x:v>
      </x:c>
      <x:c r="K158" s="103" t="e">
        <x:f>IF(AND(89&lt;=$H$10,$H$12="計算可能"),$H$8,NA())</x:f>
        <x:v>#N/A</x:v>
      </x:c>
      <x:c r="L158" s="102" t="e">
        <x:f>IF(89&lt;=$H$10,89,NA())</x:f>
        <x:v>#N/A</x:v>
      </x:c>
      <x:c r="M158" s="103" t="e">
        <x:f>IF(AND(ISNUMBER(C106),$H$12="計算可能"),C106,NA())</x:f>
        <x:v>#N/A</x:v>
      </x:c>
      <x:c r="N158" s="103" t="e">
        <x:f>IF(AND(89&lt;=$H$10,$H$12="計算可能"),$L$6,NA())</x:f>
        <x:v>#N/A</x:v>
      </x:c>
      <x:c r="O158" s="103" t="e">
        <x:f>IF(AND(89&lt;=$H$10,$H$12="計算可能"),$L$7,NA())</x:f>
        <x:v>#N/A</x:v>
      </x:c>
      <x:c r="P158" s="103" t="e">
        <x:f>IF(AND(89&lt;=$H$10,$H$12="計算可能"),$L$8,NA())</x:f>
        <x:v>#N/A</x:v>
      </x:c>
      <x:c r="Q158" s="21"/>
    </x:row>
    <x:row r="159" ht="21" customHeight="1">
      <x:c r="A159" s="91" t="str">
        <x:f>IF(ISNUMBER(B159),142,"")</x:f>
      </x:c>
      <x:c r="B159" s="89"/>
      <x:c r="C159" s="70" t="str">
        <x:f>IF(AND(ISNUMBER(B158),ISNUMBER(B159)),ABS(B159-B158),"")</x:f>
      </x:c>
      <x:c r="D159" s="67" t="str">
        <x:f>IF(AND(ISNUMBER(B159),$H$12="計算可能"),IF(OR(B159&gt;$H$7,B159&lt;$H$8),"管理外",""),"")</x:f>
      </x:c>
      <x:c r="E159" s="67" t="str">
        <x:f>IF(AND(ISNUMBER(C159),$H$12="計算可能"),IF(OR(C159&gt;$L$7,C159&lt;$L$8),"管理外",""),"")</x:f>
      </x:c>
      <x:c r="F159" s="21"/>
      <x:c r="G159" s="102" t="e">
        <x:f>IF(90&lt;=$H$10,90,NA())</x:f>
        <x:v>#N/A</x:v>
      </x:c>
      <x:c r="H159" s="103" t="e">
        <x:f>IF(AND(ISNUMBER(B107),$H$12="計算可能"),B107,NA())</x:f>
        <x:v>#N/A</x:v>
      </x:c>
      <x:c r="I159" s="103" t="e">
        <x:f>IF(AND(90&lt;=$H$10,$H$12="計算可能"),$H$6,NA())</x:f>
        <x:v>#N/A</x:v>
      </x:c>
      <x:c r="J159" s="103" t="e">
        <x:f>IF(AND(90&lt;=$H$10,$H$12="計算可能"),$H$7,NA())</x:f>
        <x:v>#N/A</x:v>
      </x:c>
      <x:c r="K159" s="103" t="e">
        <x:f>IF(AND(90&lt;=$H$10,$H$12="計算可能"),$H$8,NA())</x:f>
        <x:v>#N/A</x:v>
      </x:c>
      <x:c r="L159" s="102" t="e">
        <x:f>IF(90&lt;=$H$10,90,NA())</x:f>
        <x:v>#N/A</x:v>
      </x:c>
      <x:c r="M159" s="103" t="e">
        <x:f>IF(AND(ISNUMBER(C107),$H$12="計算可能"),C107,NA())</x:f>
        <x:v>#N/A</x:v>
      </x:c>
      <x:c r="N159" s="103" t="e">
        <x:f>IF(AND(90&lt;=$H$10,$H$12="計算可能"),$L$6,NA())</x:f>
        <x:v>#N/A</x:v>
      </x:c>
      <x:c r="O159" s="103" t="e">
        <x:f>IF(AND(90&lt;=$H$10,$H$12="計算可能"),$L$7,NA())</x:f>
        <x:v>#N/A</x:v>
      </x:c>
      <x:c r="P159" s="103" t="e">
        <x:f>IF(AND(90&lt;=$H$10,$H$12="計算可能"),$L$8,NA())</x:f>
        <x:v>#N/A</x:v>
      </x:c>
      <x:c r="Q159" s="21"/>
    </x:row>
    <x:row r="160" ht="21" customHeight="1">
      <x:c r="A160" s="91" t="str">
        <x:f>IF(ISNUMBER(B160),143,"")</x:f>
      </x:c>
      <x:c r="B160" s="89"/>
      <x:c r="C160" s="70" t="str">
        <x:f>IF(AND(ISNUMBER(B159),ISNUMBER(B160)),ABS(B160-B159),"")</x:f>
      </x:c>
      <x:c r="D160" s="67" t="str">
        <x:f>IF(AND(ISNUMBER(B160),$H$12="計算可能"),IF(OR(B160&gt;$H$7,B160&lt;$H$8),"管理外",""),"")</x:f>
      </x:c>
      <x:c r="E160" s="67" t="str">
        <x:f>IF(AND(ISNUMBER(C160),$H$12="計算可能"),IF(OR(C160&gt;$L$7,C160&lt;$L$8),"管理外",""),"")</x:f>
      </x:c>
      <x:c r="F160" s="21"/>
      <x:c r="G160" s="102" t="e">
        <x:f>IF(91&lt;=$H$10,91,NA())</x:f>
        <x:v>#N/A</x:v>
      </x:c>
      <x:c r="H160" s="103" t="e">
        <x:f>IF(AND(ISNUMBER(B108),$H$12="計算可能"),B108,NA())</x:f>
        <x:v>#N/A</x:v>
      </x:c>
      <x:c r="I160" s="103" t="e">
        <x:f>IF(AND(91&lt;=$H$10,$H$12="計算可能"),$H$6,NA())</x:f>
        <x:v>#N/A</x:v>
      </x:c>
      <x:c r="J160" s="103" t="e">
        <x:f>IF(AND(91&lt;=$H$10,$H$12="計算可能"),$H$7,NA())</x:f>
        <x:v>#N/A</x:v>
      </x:c>
      <x:c r="K160" s="103" t="e">
        <x:f>IF(AND(91&lt;=$H$10,$H$12="計算可能"),$H$8,NA())</x:f>
        <x:v>#N/A</x:v>
      </x:c>
      <x:c r="L160" s="102" t="e">
        <x:f>IF(91&lt;=$H$10,91,NA())</x:f>
        <x:v>#N/A</x:v>
      </x:c>
      <x:c r="M160" s="103" t="e">
        <x:f>IF(AND(ISNUMBER(C108),$H$12="計算可能"),C108,NA())</x:f>
        <x:v>#N/A</x:v>
      </x:c>
      <x:c r="N160" s="103" t="e">
        <x:f>IF(AND(91&lt;=$H$10,$H$12="計算可能"),$L$6,NA())</x:f>
        <x:v>#N/A</x:v>
      </x:c>
      <x:c r="O160" s="103" t="e">
        <x:f>IF(AND(91&lt;=$H$10,$H$12="計算可能"),$L$7,NA())</x:f>
        <x:v>#N/A</x:v>
      </x:c>
      <x:c r="P160" s="103" t="e">
        <x:f>IF(AND(91&lt;=$H$10,$H$12="計算可能"),$L$8,NA())</x:f>
        <x:v>#N/A</x:v>
      </x:c>
      <x:c r="Q160" s="21"/>
    </x:row>
    <x:row r="161" ht="21" customHeight="1">
      <x:c r="A161" s="91" t="str">
        <x:f>IF(ISNUMBER(B161),144,"")</x:f>
      </x:c>
      <x:c r="B161" s="89"/>
      <x:c r="C161" s="70" t="str">
        <x:f>IF(AND(ISNUMBER(B160),ISNUMBER(B161)),ABS(B161-B160),"")</x:f>
      </x:c>
      <x:c r="D161" s="67" t="str">
        <x:f>IF(AND(ISNUMBER(B161),$H$12="計算可能"),IF(OR(B161&gt;$H$7,B161&lt;$H$8),"管理外",""),"")</x:f>
      </x:c>
      <x:c r="E161" s="67" t="str">
        <x:f>IF(AND(ISNUMBER(C161),$H$12="計算可能"),IF(OR(C161&gt;$L$7,C161&lt;$L$8),"管理外",""),"")</x:f>
      </x:c>
      <x:c r="F161" s="21"/>
      <x:c r="G161" s="102" t="e">
        <x:f>IF(92&lt;=$H$10,92,NA())</x:f>
        <x:v>#N/A</x:v>
      </x:c>
      <x:c r="H161" s="103" t="e">
        <x:f>IF(AND(ISNUMBER(B109),$H$12="計算可能"),B109,NA())</x:f>
        <x:v>#N/A</x:v>
      </x:c>
      <x:c r="I161" s="103" t="e">
        <x:f>IF(AND(92&lt;=$H$10,$H$12="計算可能"),$H$6,NA())</x:f>
        <x:v>#N/A</x:v>
      </x:c>
      <x:c r="J161" s="103" t="e">
        <x:f>IF(AND(92&lt;=$H$10,$H$12="計算可能"),$H$7,NA())</x:f>
        <x:v>#N/A</x:v>
      </x:c>
      <x:c r="K161" s="103" t="e">
        <x:f>IF(AND(92&lt;=$H$10,$H$12="計算可能"),$H$8,NA())</x:f>
        <x:v>#N/A</x:v>
      </x:c>
      <x:c r="L161" s="102" t="e">
        <x:f>IF(92&lt;=$H$10,92,NA())</x:f>
        <x:v>#N/A</x:v>
      </x:c>
      <x:c r="M161" s="103" t="e">
        <x:f>IF(AND(ISNUMBER(C109),$H$12="計算可能"),C109,NA())</x:f>
        <x:v>#N/A</x:v>
      </x:c>
      <x:c r="N161" s="103" t="e">
        <x:f>IF(AND(92&lt;=$H$10,$H$12="計算可能"),$L$6,NA())</x:f>
        <x:v>#N/A</x:v>
      </x:c>
      <x:c r="O161" s="103" t="e">
        <x:f>IF(AND(92&lt;=$H$10,$H$12="計算可能"),$L$7,NA())</x:f>
        <x:v>#N/A</x:v>
      </x:c>
      <x:c r="P161" s="103" t="e">
        <x:f>IF(AND(92&lt;=$H$10,$H$12="計算可能"),$L$8,NA())</x:f>
        <x:v>#N/A</x:v>
      </x:c>
      <x:c r="Q161" s="21"/>
    </x:row>
    <x:row r="162" ht="21" customHeight="1">
      <x:c r="A162" s="91" t="str">
        <x:f>IF(ISNUMBER(B162),145,"")</x:f>
      </x:c>
      <x:c r="B162" s="89"/>
      <x:c r="C162" s="70" t="str">
        <x:f>IF(AND(ISNUMBER(B161),ISNUMBER(B162)),ABS(B162-B161),"")</x:f>
      </x:c>
      <x:c r="D162" s="67" t="str">
        <x:f>IF(AND(ISNUMBER(B162),$H$12="計算可能"),IF(OR(B162&gt;$H$7,B162&lt;$H$8),"管理外",""),"")</x:f>
      </x:c>
      <x:c r="E162" s="67" t="str">
        <x:f>IF(AND(ISNUMBER(C162),$H$12="計算可能"),IF(OR(C162&gt;$L$7,C162&lt;$L$8),"管理外",""),"")</x:f>
      </x:c>
      <x:c r="F162" s="21"/>
      <x:c r="G162" s="102" t="e">
        <x:f>IF(93&lt;=$H$10,93,NA())</x:f>
        <x:v>#N/A</x:v>
      </x:c>
      <x:c r="H162" s="103" t="e">
        <x:f>IF(AND(ISNUMBER(B110),$H$12="計算可能"),B110,NA())</x:f>
        <x:v>#N/A</x:v>
      </x:c>
      <x:c r="I162" s="103" t="e">
        <x:f>IF(AND(93&lt;=$H$10,$H$12="計算可能"),$H$6,NA())</x:f>
        <x:v>#N/A</x:v>
      </x:c>
      <x:c r="J162" s="103" t="e">
        <x:f>IF(AND(93&lt;=$H$10,$H$12="計算可能"),$H$7,NA())</x:f>
        <x:v>#N/A</x:v>
      </x:c>
      <x:c r="K162" s="103" t="e">
        <x:f>IF(AND(93&lt;=$H$10,$H$12="計算可能"),$H$8,NA())</x:f>
        <x:v>#N/A</x:v>
      </x:c>
      <x:c r="L162" s="102" t="e">
        <x:f>IF(93&lt;=$H$10,93,NA())</x:f>
        <x:v>#N/A</x:v>
      </x:c>
      <x:c r="M162" s="103" t="e">
        <x:f>IF(AND(ISNUMBER(C110),$H$12="計算可能"),C110,NA())</x:f>
        <x:v>#N/A</x:v>
      </x:c>
      <x:c r="N162" s="103" t="e">
        <x:f>IF(AND(93&lt;=$H$10,$H$12="計算可能"),$L$6,NA())</x:f>
        <x:v>#N/A</x:v>
      </x:c>
      <x:c r="O162" s="103" t="e">
        <x:f>IF(AND(93&lt;=$H$10,$H$12="計算可能"),$L$7,NA())</x:f>
        <x:v>#N/A</x:v>
      </x:c>
      <x:c r="P162" s="103" t="e">
        <x:f>IF(AND(93&lt;=$H$10,$H$12="計算可能"),$L$8,NA())</x:f>
        <x:v>#N/A</x:v>
      </x:c>
      <x:c r="Q162" s="21"/>
    </x:row>
    <x:row r="163" ht="21" customHeight="1">
      <x:c r="A163" s="91" t="str">
        <x:f>IF(ISNUMBER(B163),146,"")</x:f>
      </x:c>
      <x:c r="B163" s="89"/>
      <x:c r="C163" s="70" t="str">
        <x:f>IF(AND(ISNUMBER(B162),ISNUMBER(B163)),ABS(B163-B162),"")</x:f>
      </x:c>
      <x:c r="D163" s="67" t="str">
        <x:f>IF(AND(ISNUMBER(B163),$H$12="計算可能"),IF(OR(B163&gt;$H$7,B163&lt;$H$8),"管理外",""),"")</x:f>
      </x:c>
      <x:c r="E163" s="67" t="str">
        <x:f>IF(AND(ISNUMBER(C163),$H$12="計算可能"),IF(OR(C163&gt;$L$7,C163&lt;$L$8),"管理外",""),"")</x:f>
      </x:c>
      <x:c r="F163" s="21"/>
      <x:c r="G163" s="102" t="e">
        <x:f>IF(94&lt;=$H$10,94,NA())</x:f>
        <x:v>#N/A</x:v>
      </x:c>
      <x:c r="H163" s="103" t="e">
        <x:f>IF(AND(ISNUMBER(B111),$H$12="計算可能"),B111,NA())</x:f>
        <x:v>#N/A</x:v>
      </x:c>
      <x:c r="I163" s="103" t="e">
        <x:f>IF(AND(94&lt;=$H$10,$H$12="計算可能"),$H$6,NA())</x:f>
        <x:v>#N/A</x:v>
      </x:c>
      <x:c r="J163" s="103" t="e">
        <x:f>IF(AND(94&lt;=$H$10,$H$12="計算可能"),$H$7,NA())</x:f>
        <x:v>#N/A</x:v>
      </x:c>
      <x:c r="K163" s="103" t="e">
        <x:f>IF(AND(94&lt;=$H$10,$H$12="計算可能"),$H$8,NA())</x:f>
        <x:v>#N/A</x:v>
      </x:c>
      <x:c r="L163" s="102" t="e">
        <x:f>IF(94&lt;=$H$10,94,NA())</x:f>
        <x:v>#N/A</x:v>
      </x:c>
      <x:c r="M163" s="103" t="e">
        <x:f>IF(AND(ISNUMBER(C111),$H$12="計算可能"),C111,NA())</x:f>
        <x:v>#N/A</x:v>
      </x:c>
      <x:c r="N163" s="103" t="e">
        <x:f>IF(AND(94&lt;=$H$10,$H$12="計算可能"),$L$6,NA())</x:f>
        <x:v>#N/A</x:v>
      </x:c>
      <x:c r="O163" s="103" t="e">
        <x:f>IF(AND(94&lt;=$H$10,$H$12="計算可能"),$L$7,NA())</x:f>
        <x:v>#N/A</x:v>
      </x:c>
      <x:c r="P163" s="103" t="e">
        <x:f>IF(AND(94&lt;=$H$10,$H$12="計算可能"),$L$8,NA())</x:f>
        <x:v>#N/A</x:v>
      </x:c>
      <x:c r="Q163" s="21"/>
    </x:row>
    <x:row r="164" ht="21" customHeight="1">
      <x:c r="A164" s="91" t="str">
        <x:f>IF(ISNUMBER(B164),147,"")</x:f>
      </x:c>
      <x:c r="B164" s="89"/>
      <x:c r="C164" s="70" t="str">
        <x:f>IF(AND(ISNUMBER(B163),ISNUMBER(B164)),ABS(B164-B163),"")</x:f>
      </x:c>
      <x:c r="D164" s="67" t="str">
        <x:f>IF(AND(ISNUMBER(B164),$H$12="計算可能"),IF(OR(B164&gt;$H$7,B164&lt;$H$8),"管理外",""),"")</x:f>
      </x:c>
      <x:c r="E164" s="67" t="str">
        <x:f>IF(AND(ISNUMBER(C164),$H$12="計算可能"),IF(OR(C164&gt;$L$7,C164&lt;$L$8),"管理外",""),"")</x:f>
      </x:c>
      <x:c r="F164" s="21"/>
      <x:c r="G164" s="102" t="e">
        <x:f>IF(95&lt;=$H$10,95,NA())</x:f>
        <x:v>#N/A</x:v>
      </x:c>
      <x:c r="H164" s="103" t="e">
        <x:f>IF(AND(ISNUMBER(B112),$H$12="計算可能"),B112,NA())</x:f>
        <x:v>#N/A</x:v>
      </x:c>
      <x:c r="I164" s="103" t="e">
        <x:f>IF(AND(95&lt;=$H$10,$H$12="計算可能"),$H$6,NA())</x:f>
        <x:v>#N/A</x:v>
      </x:c>
      <x:c r="J164" s="103" t="e">
        <x:f>IF(AND(95&lt;=$H$10,$H$12="計算可能"),$H$7,NA())</x:f>
        <x:v>#N/A</x:v>
      </x:c>
      <x:c r="K164" s="103" t="e">
        <x:f>IF(AND(95&lt;=$H$10,$H$12="計算可能"),$H$8,NA())</x:f>
        <x:v>#N/A</x:v>
      </x:c>
      <x:c r="L164" s="102" t="e">
        <x:f>IF(95&lt;=$H$10,95,NA())</x:f>
        <x:v>#N/A</x:v>
      </x:c>
      <x:c r="M164" s="103" t="e">
        <x:f>IF(AND(ISNUMBER(C112),$H$12="計算可能"),C112,NA())</x:f>
        <x:v>#N/A</x:v>
      </x:c>
      <x:c r="N164" s="103" t="e">
        <x:f>IF(AND(95&lt;=$H$10,$H$12="計算可能"),$L$6,NA())</x:f>
        <x:v>#N/A</x:v>
      </x:c>
      <x:c r="O164" s="103" t="e">
        <x:f>IF(AND(95&lt;=$H$10,$H$12="計算可能"),$L$7,NA())</x:f>
        <x:v>#N/A</x:v>
      </x:c>
      <x:c r="P164" s="103" t="e">
        <x:f>IF(AND(95&lt;=$H$10,$H$12="計算可能"),$L$8,NA())</x:f>
        <x:v>#N/A</x:v>
      </x:c>
      <x:c r="Q164" s="21"/>
    </x:row>
    <x:row r="165" ht="21" customHeight="1">
      <x:c r="A165" s="91" t="str">
        <x:f>IF(ISNUMBER(B165),148,"")</x:f>
      </x:c>
      <x:c r="B165" s="89"/>
      <x:c r="C165" s="70" t="str">
        <x:f>IF(AND(ISNUMBER(B164),ISNUMBER(B165)),ABS(B165-B164),"")</x:f>
      </x:c>
      <x:c r="D165" s="67" t="str">
        <x:f>IF(AND(ISNUMBER(B165),$H$12="計算可能"),IF(OR(B165&gt;$H$7,B165&lt;$H$8),"管理外",""),"")</x:f>
      </x:c>
      <x:c r="E165" s="67" t="str">
        <x:f>IF(AND(ISNUMBER(C165),$H$12="計算可能"),IF(OR(C165&gt;$L$7,C165&lt;$L$8),"管理外",""),"")</x:f>
      </x:c>
      <x:c r="F165" s="21"/>
      <x:c r="G165" s="102" t="e">
        <x:f>IF(96&lt;=$H$10,96,NA())</x:f>
        <x:v>#N/A</x:v>
      </x:c>
      <x:c r="H165" s="103" t="e">
        <x:f>IF(AND(ISNUMBER(B113),$H$12="計算可能"),B113,NA())</x:f>
        <x:v>#N/A</x:v>
      </x:c>
      <x:c r="I165" s="103" t="e">
        <x:f>IF(AND(96&lt;=$H$10,$H$12="計算可能"),$H$6,NA())</x:f>
        <x:v>#N/A</x:v>
      </x:c>
      <x:c r="J165" s="103" t="e">
        <x:f>IF(AND(96&lt;=$H$10,$H$12="計算可能"),$H$7,NA())</x:f>
        <x:v>#N/A</x:v>
      </x:c>
      <x:c r="K165" s="103" t="e">
        <x:f>IF(AND(96&lt;=$H$10,$H$12="計算可能"),$H$8,NA())</x:f>
        <x:v>#N/A</x:v>
      </x:c>
      <x:c r="L165" s="102" t="e">
        <x:f>IF(96&lt;=$H$10,96,NA())</x:f>
        <x:v>#N/A</x:v>
      </x:c>
      <x:c r="M165" s="103" t="e">
        <x:f>IF(AND(ISNUMBER(C113),$H$12="計算可能"),C113,NA())</x:f>
        <x:v>#N/A</x:v>
      </x:c>
      <x:c r="N165" s="103" t="e">
        <x:f>IF(AND(96&lt;=$H$10,$H$12="計算可能"),$L$6,NA())</x:f>
        <x:v>#N/A</x:v>
      </x:c>
      <x:c r="O165" s="103" t="e">
        <x:f>IF(AND(96&lt;=$H$10,$H$12="計算可能"),$L$7,NA())</x:f>
        <x:v>#N/A</x:v>
      </x:c>
      <x:c r="P165" s="103" t="e">
        <x:f>IF(AND(96&lt;=$H$10,$H$12="計算可能"),$L$8,NA())</x:f>
        <x:v>#N/A</x:v>
      </x:c>
      <x:c r="Q165" s="21"/>
    </x:row>
    <x:row r="166" ht="21" customHeight="1">
      <x:c r="A166" s="91" t="str">
        <x:f>IF(ISNUMBER(B166),149,"")</x:f>
      </x:c>
      <x:c r="B166" s="89"/>
      <x:c r="C166" s="70" t="str">
        <x:f>IF(AND(ISNUMBER(B165),ISNUMBER(B166)),ABS(B166-B165),"")</x:f>
      </x:c>
      <x:c r="D166" s="67" t="str">
        <x:f>IF(AND(ISNUMBER(B166),$H$12="計算可能"),IF(OR(B166&gt;$H$7,B166&lt;$H$8),"管理外",""),"")</x:f>
      </x:c>
      <x:c r="E166" s="67" t="str">
        <x:f>IF(AND(ISNUMBER(C166),$H$12="計算可能"),IF(OR(C166&gt;$L$7,C166&lt;$L$8),"管理外",""),"")</x:f>
      </x:c>
      <x:c r="F166" s="21"/>
      <x:c r="G166" s="102" t="e">
        <x:f>IF(97&lt;=$H$10,97,NA())</x:f>
        <x:v>#N/A</x:v>
      </x:c>
      <x:c r="H166" s="103" t="e">
        <x:f>IF(AND(ISNUMBER(B114),$H$12="計算可能"),B114,NA())</x:f>
        <x:v>#N/A</x:v>
      </x:c>
      <x:c r="I166" s="103" t="e">
        <x:f>IF(AND(97&lt;=$H$10,$H$12="計算可能"),$H$6,NA())</x:f>
        <x:v>#N/A</x:v>
      </x:c>
      <x:c r="J166" s="103" t="e">
        <x:f>IF(AND(97&lt;=$H$10,$H$12="計算可能"),$H$7,NA())</x:f>
        <x:v>#N/A</x:v>
      </x:c>
      <x:c r="K166" s="103" t="e">
        <x:f>IF(AND(97&lt;=$H$10,$H$12="計算可能"),$H$8,NA())</x:f>
        <x:v>#N/A</x:v>
      </x:c>
      <x:c r="L166" s="102" t="e">
        <x:f>IF(97&lt;=$H$10,97,NA())</x:f>
        <x:v>#N/A</x:v>
      </x:c>
      <x:c r="M166" s="103" t="e">
        <x:f>IF(AND(ISNUMBER(C114),$H$12="計算可能"),C114,NA())</x:f>
        <x:v>#N/A</x:v>
      </x:c>
      <x:c r="N166" s="103" t="e">
        <x:f>IF(AND(97&lt;=$H$10,$H$12="計算可能"),$L$6,NA())</x:f>
        <x:v>#N/A</x:v>
      </x:c>
      <x:c r="O166" s="103" t="e">
        <x:f>IF(AND(97&lt;=$H$10,$H$12="計算可能"),$L$7,NA())</x:f>
        <x:v>#N/A</x:v>
      </x:c>
      <x:c r="P166" s="103" t="e">
        <x:f>IF(AND(97&lt;=$H$10,$H$12="計算可能"),$L$8,NA())</x:f>
        <x:v>#N/A</x:v>
      </x:c>
      <x:c r="Q166" s="21"/>
    </x:row>
    <x:row r="167" ht="21" customHeight="1">
      <x:c r="A167" s="91" t="str">
        <x:f>IF(ISNUMBER(B167),150,"")</x:f>
      </x:c>
      <x:c r="B167" s="89"/>
      <x:c r="C167" s="70" t="str">
        <x:f>IF(AND(ISNUMBER(B166),ISNUMBER(B167)),ABS(B167-B166),"")</x:f>
      </x:c>
      <x:c r="D167" s="67" t="str">
        <x:f>IF(AND(ISNUMBER(B167),$H$12="計算可能"),IF(OR(B167&gt;$H$7,B167&lt;$H$8),"管理外",""),"")</x:f>
      </x:c>
      <x:c r="E167" s="67" t="str">
        <x:f>IF(AND(ISNUMBER(C167),$H$12="計算可能"),IF(OR(C167&gt;$L$7,C167&lt;$L$8),"管理外",""),"")</x:f>
      </x:c>
      <x:c r="F167" s="21"/>
      <x:c r="G167" s="102" t="e">
        <x:f>IF(98&lt;=$H$10,98,NA())</x:f>
        <x:v>#N/A</x:v>
      </x:c>
      <x:c r="H167" s="103" t="e">
        <x:f>IF(AND(ISNUMBER(B115),$H$12="計算可能"),B115,NA())</x:f>
        <x:v>#N/A</x:v>
      </x:c>
      <x:c r="I167" s="103" t="e">
        <x:f>IF(AND(98&lt;=$H$10,$H$12="計算可能"),$H$6,NA())</x:f>
        <x:v>#N/A</x:v>
      </x:c>
      <x:c r="J167" s="103" t="e">
        <x:f>IF(AND(98&lt;=$H$10,$H$12="計算可能"),$H$7,NA())</x:f>
        <x:v>#N/A</x:v>
      </x:c>
      <x:c r="K167" s="103" t="e">
        <x:f>IF(AND(98&lt;=$H$10,$H$12="計算可能"),$H$8,NA())</x:f>
        <x:v>#N/A</x:v>
      </x:c>
      <x:c r="L167" s="102" t="e">
        <x:f>IF(98&lt;=$H$10,98,NA())</x:f>
        <x:v>#N/A</x:v>
      </x:c>
      <x:c r="M167" s="103" t="e">
        <x:f>IF(AND(ISNUMBER(C115),$H$12="計算可能"),C115,NA())</x:f>
        <x:v>#N/A</x:v>
      </x:c>
      <x:c r="N167" s="103" t="e">
        <x:f>IF(AND(98&lt;=$H$10,$H$12="計算可能"),$L$6,NA())</x:f>
        <x:v>#N/A</x:v>
      </x:c>
      <x:c r="O167" s="103" t="e">
        <x:f>IF(AND(98&lt;=$H$10,$H$12="計算可能"),$L$7,NA())</x:f>
        <x:v>#N/A</x:v>
      </x:c>
      <x:c r="P167" s="103" t="e">
        <x:f>IF(AND(98&lt;=$H$10,$H$12="計算可能"),$L$8,NA())</x:f>
        <x:v>#N/A</x:v>
      </x:c>
      <x:c r="Q167" s="21"/>
    </x:row>
    <x:row r="168" ht="21" customHeight="1">
      <x:c r="A168" s="91" t="str">
        <x:f>IF(ISNUMBER(B168),151,"")</x:f>
      </x:c>
      <x:c r="B168" s="89"/>
      <x:c r="C168" s="70" t="str">
        <x:f>IF(AND(ISNUMBER(B167),ISNUMBER(B168)),ABS(B168-B167),"")</x:f>
      </x:c>
      <x:c r="D168" s="67" t="str">
        <x:f>IF(AND(ISNUMBER(B168),$H$12="計算可能"),IF(OR(B168&gt;$H$7,B168&lt;$H$8),"管理外",""),"")</x:f>
      </x:c>
      <x:c r="E168" s="67" t="str">
        <x:f>IF(AND(ISNUMBER(C168),$H$12="計算可能"),IF(OR(C168&gt;$L$7,C168&lt;$L$8),"管理外",""),"")</x:f>
      </x:c>
      <x:c r="F168" s="21"/>
      <x:c r="G168" s="102" t="e">
        <x:f>IF(99&lt;=$H$10,99,NA())</x:f>
        <x:v>#N/A</x:v>
      </x:c>
      <x:c r="H168" s="103" t="e">
        <x:f>IF(AND(ISNUMBER(B116),$H$12="計算可能"),B116,NA())</x:f>
        <x:v>#N/A</x:v>
      </x:c>
      <x:c r="I168" s="103" t="e">
        <x:f>IF(AND(99&lt;=$H$10,$H$12="計算可能"),$H$6,NA())</x:f>
        <x:v>#N/A</x:v>
      </x:c>
      <x:c r="J168" s="103" t="e">
        <x:f>IF(AND(99&lt;=$H$10,$H$12="計算可能"),$H$7,NA())</x:f>
        <x:v>#N/A</x:v>
      </x:c>
      <x:c r="K168" s="103" t="e">
        <x:f>IF(AND(99&lt;=$H$10,$H$12="計算可能"),$H$8,NA())</x:f>
        <x:v>#N/A</x:v>
      </x:c>
      <x:c r="L168" s="102" t="e">
        <x:f>IF(99&lt;=$H$10,99,NA())</x:f>
        <x:v>#N/A</x:v>
      </x:c>
      <x:c r="M168" s="103" t="e">
        <x:f>IF(AND(ISNUMBER(C116),$H$12="計算可能"),C116,NA())</x:f>
        <x:v>#N/A</x:v>
      </x:c>
      <x:c r="N168" s="103" t="e">
        <x:f>IF(AND(99&lt;=$H$10,$H$12="計算可能"),$L$6,NA())</x:f>
        <x:v>#N/A</x:v>
      </x:c>
      <x:c r="O168" s="103" t="e">
        <x:f>IF(AND(99&lt;=$H$10,$H$12="計算可能"),$L$7,NA())</x:f>
        <x:v>#N/A</x:v>
      </x:c>
      <x:c r="P168" s="103" t="e">
        <x:f>IF(AND(99&lt;=$H$10,$H$12="計算可能"),$L$8,NA())</x:f>
        <x:v>#N/A</x:v>
      </x:c>
      <x:c r="Q168" s="21"/>
    </x:row>
    <x:row r="169" ht="21" customHeight="1">
      <x:c r="A169" s="91" t="str">
        <x:f>IF(ISNUMBER(B169),152,"")</x:f>
      </x:c>
      <x:c r="B169" s="89"/>
      <x:c r="C169" s="70" t="str">
        <x:f>IF(AND(ISNUMBER(B168),ISNUMBER(B169)),ABS(B169-B168),"")</x:f>
      </x:c>
      <x:c r="D169" s="67" t="str">
        <x:f>IF(AND(ISNUMBER(B169),$H$12="計算可能"),IF(OR(B169&gt;$H$7,B169&lt;$H$8),"管理外",""),"")</x:f>
      </x:c>
      <x:c r="E169" s="67" t="str">
        <x:f>IF(AND(ISNUMBER(C169),$H$12="計算可能"),IF(OR(C169&gt;$L$7,C169&lt;$L$8),"管理外",""),"")</x:f>
      </x:c>
      <x:c r="F169" s="21"/>
      <x:c r="G169" s="102" t="e">
        <x:f>IF(100&lt;=$H$10,100,NA())</x:f>
        <x:v>#N/A</x:v>
      </x:c>
      <x:c r="H169" s="103" t="e">
        <x:f>IF(AND(ISNUMBER(B117),$H$12="計算可能"),B117,NA())</x:f>
        <x:v>#N/A</x:v>
      </x:c>
      <x:c r="I169" s="103" t="e">
        <x:f>IF(AND(100&lt;=$H$10,$H$12="計算可能"),$H$6,NA())</x:f>
        <x:v>#N/A</x:v>
      </x:c>
      <x:c r="J169" s="103" t="e">
        <x:f>IF(AND(100&lt;=$H$10,$H$12="計算可能"),$H$7,NA())</x:f>
        <x:v>#N/A</x:v>
      </x:c>
      <x:c r="K169" s="103" t="e">
        <x:f>IF(AND(100&lt;=$H$10,$H$12="計算可能"),$H$8,NA())</x:f>
        <x:v>#N/A</x:v>
      </x:c>
      <x:c r="L169" s="102" t="e">
        <x:f>IF(100&lt;=$H$10,100,NA())</x:f>
        <x:v>#N/A</x:v>
      </x:c>
      <x:c r="M169" s="103" t="e">
        <x:f>IF(AND(ISNUMBER(C117),$H$12="計算可能"),C117,NA())</x:f>
        <x:v>#N/A</x:v>
      </x:c>
      <x:c r="N169" s="103" t="e">
        <x:f>IF(AND(100&lt;=$H$10,$H$12="計算可能"),$L$6,NA())</x:f>
        <x:v>#N/A</x:v>
      </x:c>
      <x:c r="O169" s="103" t="e">
        <x:f>IF(AND(100&lt;=$H$10,$H$12="計算可能"),$L$7,NA())</x:f>
        <x:v>#N/A</x:v>
      </x:c>
      <x:c r="P169" s="103" t="e">
        <x:f>IF(AND(100&lt;=$H$10,$H$12="計算可能"),$L$8,NA())</x:f>
        <x:v>#N/A</x:v>
      </x:c>
      <x:c r="Q169" s="21"/>
    </x:row>
    <x:row r="170" ht="21" customHeight="1">
      <x:c r="A170" s="91" t="str">
        <x:f>IF(ISNUMBER(B170),153,"")</x:f>
      </x:c>
      <x:c r="B170" s="89"/>
      <x:c r="C170" s="70" t="str">
        <x:f>IF(AND(ISNUMBER(B169),ISNUMBER(B170)),ABS(B170-B169),"")</x:f>
      </x:c>
      <x:c r="D170" s="67" t="str">
        <x:f>IF(AND(ISNUMBER(B170),$H$12="計算可能"),IF(OR(B170&gt;$H$7,B170&lt;$H$8),"管理外",""),"")</x:f>
      </x:c>
      <x:c r="E170" s="67" t="str">
        <x:f>IF(AND(ISNUMBER(C170),$H$12="計算可能"),IF(OR(C170&gt;$L$7,C170&lt;$L$8),"管理外",""),"")</x:f>
      </x:c>
      <x:c r="F170" s="21"/>
      <x:c r="G170" s="102" t="e">
        <x:f>IF(101&lt;=$H$10,101,NA())</x:f>
        <x:v>#N/A</x:v>
      </x:c>
      <x:c r="H170" s="103" t="e">
        <x:f>IF(AND(ISNUMBER(B118),$H$12="計算可能"),B118,NA())</x:f>
        <x:v>#N/A</x:v>
      </x:c>
      <x:c r="I170" s="103" t="e">
        <x:f>IF(AND(101&lt;=$H$10,$H$12="計算可能"),$H$6,NA())</x:f>
        <x:v>#N/A</x:v>
      </x:c>
      <x:c r="J170" s="103" t="e">
        <x:f>IF(AND(101&lt;=$H$10,$H$12="計算可能"),$H$7,NA())</x:f>
        <x:v>#N/A</x:v>
      </x:c>
      <x:c r="K170" s="103" t="e">
        <x:f>IF(AND(101&lt;=$H$10,$H$12="計算可能"),$H$8,NA())</x:f>
        <x:v>#N/A</x:v>
      </x:c>
      <x:c r="L170" s="102" t="e">
        <x:f>IF(101&lt;=$H$10,101,NA())</x:f>
        <x:v>#N/A</x:v>
      </x:c>
      <x:c r="M170" s="103" t="e">
        <x:f>IF(AND(ISNUMBER(C118),$H$12="計算可能"),C118,NA())</x:f>
        <x:v>#N/A</x:v>
      </x:c>
      <x:c r="N170" s="103" t="e">
        <x:f>IF(AND(101&lt;=$H$10,$H$12="計算可能"),$L$6,NA())</x:f>
        <x:v>#N/A</x:v>
      </x:c>
      <x:c r="O170" s="103" t="e">
        <x:f>IF(AND(101&lt;=$H$10,$H$12="計算可能"),$L$7,NA())</x:f>
        <x:v>#N/A</x:v>
      </x:c>
      <x:c r="P170" s="103" t="e">
        <x:f>IF(AND(101&lt;=$H$10,$H$12="計算可能"),$L$8,NA())</x:f>
        <x:v>#N/A</x:v>
      </x:c>
      <x:c r="Q170" s="21"/>
    </x:row>
    <x:row r="171" ht="21" customHeight="1">
      <x:c r="A171" s="91" t="str">
        <x:f>IF(ISNUMBER(B171),154,"")</x:f>
      </x:c>
      <x:c r="B171" s="89"/>
      <x:c r="C171" s="70" t="str">
        <x:f>IF(AND(ISNUMBER(B170),ISNUMBER(B171)),ABS(B171-B170),"")</x:f>
      </x:c>
      <x:c r="D171" s="67" t="str">
        <x:f>IF(AND(ISNUMBER(B171),$H$12="計算可能"),IF(OR(B171&gt;$H$7,B171&lt;$H$8),"管理外",""),"")</x:f>
      </x:c>
      <x:c r="E171" s="67" t="str">
        <x:f>IF(AND(ISNUMBER(C171),$H$12="計算可能"),IF(OR(C171&gt;$L$7,C171&lt;$L$8),"管理外",""),"")</x:f>
      </x:c>
      <x:c r="F171" s="21"/>
      <x:c r="G171" s="102" t="e">
        <x:f>IF(102&lt;=$H$10,102,NA())</x:f>
        <x:v>#N/A</x:v>
      </x:c>
      <x:c r="H171" s="103" t="e">
        <x:f>IF(AND(ISNUMBER(B119),$H$12="計算可能"),B119,NA())</x:f>
        <x:v>#N/A</x:v>
      </x:c>
      <x:c r="I171" s="103" t="e">
        <x:f>IF(AND(102&lt;=$H$10,$H$12="計算可能"),$H$6,NA())</x:f>
        <x:v>#N/A</x:v>
      </x:c>
      <x:c r="J171" s="103" t="e">
        <x:f>IF(AND(102&lt;=$H$10,$H$12="計算可能"),$H$7,NA())</x:f>
        <x:v>#N/A</x:v>
      </x:c>
      <x:c r="K171" s="103" t="e">
        <x:f>IF(AND(102&lt;=$H$10,$H$12="計算可能"),$H$8,NA())</x:f>
        <x:v>#N/A</x:v>
      </x:c>
      <x:c r="L171" s="102" t="e">
        <x:f>IF(102&lt;=$H$10,102,NA())</x:f>
        <x:v>#N/A</x:v>
      </x:c>
      <x:c r="M171" s="103" t="e">
        <x:f>IF(AND(ISNUMBER(C119),$H$12="計算可能"),C119,NA())</x:f>
        <x:v>#N/A</x:v>
      </x:c>
      <x:c r="N171" s="103" t="e">
        <x:f>IF(AND(102&lt;=$H$10,$H$12="計算可能"),$L$6,NA())</x:f>
        <x:v>#N/A</x:v>
      </x:c>
      <x:c r="O171" s="103" t="e">
        <x:f>IF(AND(102&lt;=$H$10,$H$12="計算可能"),$L$7,NA())</x:f>
        <x:v>#N/A</x:v>
      </x:c>
      <x:c r="P171" s="103" t="e">
        <x:f>IF(AND(102&lt;=$H$10,$H$12="計算可能"),$L$8,NA())</x:f>
        <x:v>#N/A</x:v>
      </x:c>
      <x:c r="Q171" s="21"/>
    </x:row>
    <x:row r="172" ht="21" customHeight="1">
      <x:c r="A172" s="91" t="str">
        <x:f>IF(ISNUMBER(B172),155,"")</x:f>
      </x:c>
      <x:c r="B172" s="89"/>
      <x:c r="C172" s="70" t="str">
        <x:f>IF(AND(ISNUMBER(B171),ISNUMBER(B172)),ABS(B172-B171),"")</x:f>
      </x:c>
      <x:c r="D172" s="67" t="str">
        <x:f>IF(AND(ISNUMBER(B172),$H$12="計算可能"),IF(OR(B172&gt;$H$7,B172&lt;$H$8),"管理外",""),"")</x:f>
      </x:c>
      <x:c r="E172" s="67" t="str">
        <x:f>IF(AND(ISNUMBER(C172),$H$12="計算可能"),IF(OR(C172&gt;$L$7,C172&lt;$L$8),"管理外",""),"")</x:f>
      </x:c>
      <x:c r="F172" s="21"/>
      <x:c r="G172" s="102" t="e">
        <x:f>IF(103&lt;=$H$10,103,NA())</x:f>
        <x:v>#N/A</x:v>
      </x:c>
      <x:c r="H172" s="103" t="e">
        <x:f>IF(AND(ISNUMBER(B120),$H$12="計算可能"),B120,NA())</x:f>
        <x:v>#N/A</x:v>
      </x:c>
      <x:c r="I172" s="103" t="e">
        <x:f>IF(AND(103&lt;=$H$10,$H$12="計算可能"),$H$6,NA())</x:f>
        <x:v>#N/A</x:v>
      </x:c>
      <x:c r="J172" s="103" t="e">
        <x:f>IF(AND(103&lt;=$H$10,$H$12="計算可能"),$H$7,NA())</x:f>
        <x:v>#N/A</x:v>
      </x:c>
      <x:c r="K172" s="103" t="e">
        <x:f>IF(AND(103&lt;=$H$10,$H$12="計算可能"),$H$8,NA())</x:f>
        <x:v>#N/A</x:v>
      </x:c>
      <x:c r="L172" s="102" t="e">
        <x:f>IF(103&lt;=$H$10,103,NA())</x:f>
        <x:v>#N/A</x:v>
      </x:c>
      <x:c r="M172" s="103" t="e">
        <x:f>IF(AND(ISNUMBER(C120),$H$12="計算可能"),C120,NA())</x:f>
        <x:v>#N/A</x:v>
      </x:c>
      <x:c r="N172" s="103" t="e">
        <x:f>IF(AND(103&lt;=$H$10,$H$12="計算可能"),$L$6,NA())</x:f>
        <x:v>#N/A</x:v>
      </x:c>
      <x:c r="O172" s="103" t="e">
        <x:f>IF(AND(103&lt;=$H$10,$H$12="計算可能"),$L$7,NA())</x:f>
        <x:v>#N/A</x:v>
      </x:c>
      <x:c r="P172" s="103" t="e">
        <x:f>IF(AND(103&lt;=$H$10,$H$12="計算可能"),$L$8,NA())</x:f>
        <x:v>#N/A</x:v>
      </x:c>
      <x:c r="Q172" s="21"/>
    </x:row>
    <x:row r="173" ht="21" customHeight="1">
      <x:c r="A173" s="91" t="str">
        <x:f>IF(ISNUMBER(B173),156,"")</x:f>
      </x:c>
      <x:c r="B173" s="89"/>
      <x:c r="C173" s="70" t="str">
        <x:f>IF(AND(ISNUMBER(B172),ISNUMBER(B173)),ABS(B173-B172),"")</x:f>
      </x:c>
      <x:c r="D173" s="67" t="str">
        <x:f>IF(AND(ISNUMBER(B173),$H$12="計算可能"),IF(OR(B173&gt;$H$7,B173&lt;$H$8),"管理外",""),"")</x:f>
      </x:c>
      <x:c r="E173" s="67" t="str">
        <x:f>IF(AND(ISNUMBER(C173),$H$12="計算可能"),IF(OR(C173&gt;$L$7,C173&lt;$L$8),"管理外",""),"")</x:f>
      </x:c>
      <x:c r="F173" s="21"/>
      <x:c r="G173" s="102" t="e">
        <x:f>IF(104&lt;=$H$10,104,NA())</x:f>
        <x:v>#N/A</x:v>
      </x:c>
      <x:c r="H173" s="103" t="e">
        <x:f>IF(AND(ISNUMBER(B121),$H$12="計算可能"),B121,NA())</x:f>
        <x:v>#N/A</x:v>
      </x:c>
      <x:c r="I173" s="103" t="e">
        <x:f>IF(AND(104&lt;=$H$10,$H$12="計算可能"),$H$6,NA())</x:f>
        <x:v>#N/A</x:v>
      </x:c>
      <x:c r="J173" s="103" t="e">
        <x:f>IF(AND(104&lt;=$H$10,$H$12="計算可能"),$H$7,NA())</x:f>
        <x:v>#N/A</x:v>
      </x:c>
      <x:c r="K173" s="103" t="e">
        <x:f>IF(AND(104&lt;=$H$10,$H$12="計算可能"),$H$8,NA())</x:f>
        <x:v>#N/A</x:v>
      </x:c>
      <x:c r="L173" s="102" t="e">
        <x:f>IF(104&lt;=$H$10,104,NA())</x:f>
        <x:v>#N/A</x:v>
      </x:c>
      <x:c r="M173" s="103" t="e">
        <x:f>IF(AND(ISNUMBER(C121),$H$12="計算可能"),C121,NA())</x:f>
        <x:v>#N/A</x:v>
      </x:c>
      <x:c r="N173" s="103" t="e">
        <x:f>IF(AND(104&lt;=$H$10,$H$12="計算可能"),$L$6,NA())</x:f>
        <x:v>#N/A</x:v>
      </x:c>
      <x:c r="O173" s="103" t="e">
        <x:f>IF(AND(104&lt;=$H$10,$H$12="計算可能"),$L$7,NA())</x:f>
        <x:v>#N/A</x:v>
      </x:c>
      <x:c r="P173" s="103" t="e">
        <x:f>IF(AND(104&lt;=$H$10,$H$12="計算可能"),$L$8,NA())</x:f>
        <x:v>#N/A</x:v>
      </x:c>
      <x:c r="Q173" s="21"/>
    </x:row>
    <x:row r="174" ht="21" customHeight="1">
      <x:c r="A174" s="91" t="str">
        <x:f>IF(ISNUMBER(B174),157,"")</x:f>
      </x:c>
      <x:c r="B174" s="89"/>
      <x:c r="C174" s="70" t="str">
        <x:f>IF(AND(ISNUMBER(B173),ISNUMBER(B174)),ABS(B174-B173),"")</x:f>
      </x:c>
      <x:c r="D174" s="67" t="str">
        <x:f>IF(AND(ISNUMBER(B174),$H$12="計算可能"),IF(OR(B174&gt;$H$7,B174&lt;$H$8),"管理外",""),"")</x:f>
      </x:c>
      <x:c r="E174" s="67" t="str">
        <x:f>IF(AND(ISNUMBER(C174),$H$12="計算可能"),IF(OR(C174&gt;$L$7,C174&lt;$L$8),"管理外",""),"")</x:f>
      </x:c>
      <x:c r="F174" s="21"/>
      <x:c r="G174" s="102" t="e">
        <x:f>IF(105&lt;=$H$10,105,NA())</x:f>
        <x:v>#N/A</x:v>
      </x:c>
      <x:c r="H174" s="103" t="e">
        <x:f>IF(AND(ISNUMBER(B122),$H$12="計算可能"),B122,NA())</x:f>
        <x:v>#N/A</x:v>
      </x:c>
      <x:c r="I174" s="103" t="e">
        <x:f>IF(AND(105&lt;=$H$10,$H$12="計算可能"),$H$6,NA())</x:f>
        <x:v>#N/A</x:v>
      </x:c>
      <x:c r="J174" s="103" t="e">
        <x:f>IF(AND(105&lt;=$H$10,$H$12="計算可能"),$H$7,NA())</x:f>
        <x:v>#N/A</x:v>
      </x:c>
      <x:c r="K174" s="103" t="e">
        <x:f>IF(AND(105&lt;=$H$10,$H$12="計算可能"),$H$8,NA())</x:f>
        <x:v>#N/A</x:v>
      </x:c>
      <x:c r="L174" s="102" t="e">
        <x:f>IF(105&lt;=$H$10,105,NA())</x:f>
        <x:v>#N/A</x:v>
      </x:c>
      <x:c r="M174" s="103" t="e">
        <x:f>IF(AND(ISNUMBER(C122),$H$12="計算可能"),C122,NA())</x:f>
        <x:v>#N/A</x:v>
      </x:c>
      <x:c r="N174" s="103" t="e">
        <x:f>IF(AND(105&lt;=$H$10,$H$12="計算可能"),$L$6,NA())</x:f>
        <x:v>#N/A</x:v>
      </x:c>
      <x:c r="O174" s="103" t="e">
        <x:f>IF(AND(105&lt;=$H$10,$H$12="計算可能"),$L$7,NA())</x:f>
        <x:v>#N/A</x:v>
      </x:c>
      <x:c r="P174" s="103" t="e">
        <x:f>IF(AND(105&lt;=$H$10,$H$12="計算可能"),$L$8,NA())</x:f>
        <x:v>#N/A</x:v>
      </x:c>
      <x:c r="Q174" s="21"/>
    </x:row>
    <x:row r="175" ht="21" customHeight="1">
      <x:c r="A175" s="91" t="str">
        <x:f>IF(ISNUMBER(B175),158,"")</x:f>
      </x:c>
      <x:c r="B175" s="89"/>
      <x:c r="C175" s="70" t="str">
        <x:f>IF(AND(ISNUMBER(B174),ISNUMBER(B175)),ABS(B175-B174),"")</x:f>
      </x:c>
      <x:c r="D175" s="67" t="str">
        <x:f>IF(AND(ISNUMBER(B175),$H$12="計算可能"),IF(OR(B175&gt;$H$7,B175&lt;$H$8),"管理外",""),"")</x:f>
      </x:c>
      <x:c r="E175" s="67" t="str">
        <x:f>IF(AND(ISNUMBER(C175),$H$12="計算可能"),IF(OR(C175&gt;$L$7,C175&lt;$L$8),"管理外",""),"")</x:f>
      </x:c>
      <x:c r="F175" s="21"/>
      <x:c r="G175" s="102" t="e">
        <x:f>IF(106&lt;=$H$10,106,NA())</x:f>
        <x:v>#N/A</x:v>
      </x:c>
      <x:c r="H175" s="103" t="e">
        <x:f>IF(AND(ISNUMBER(B123),$H$12="計算可能"),B123,NA())</x:f>
        <x:v>#N/A</x:v>
      </x:c>
      <x:c r="I175" s="103" t="e">
        <x:f>IF(AND(106&lt;=$H$10,$H$12="計算可能"),$H$6,NA())</x:f>
        <x:v>#N/A</x:v>
      </x:c>
      <x:c r="J175" s="103" t="e">
        <x:f>IF(AND(106&lt;=$H$10,$H$12="計算可能"),$H$7,NA())</x:f>
        <x:v>#N/A</x:v>
      </x:c>
      <x:c r="K175" s="103" t="e">
        <x:f>IF(AND(106&lt;=$H$10,$H$12="計算可能"),$H$8,NA())</x:f>
        <x:v>#N/A</x:v>
      </x:c>
      <x:c r="L175" s="102" t="e">
        <x:f>IF(106&lt;=$H$10,106,NA())</x:f>
        <x:v>#N/A</x:v>
      </x:c>
      <x:c r="M175" s="103" t="e">
        <x:f>IF(AND(ISNUMBER(C123),$H$12="計算可能"),C123,NA())</x:f>
        <x:v>#N/A</x:v>
      </x:c>
      <x:c r="N175" s="103" t="e">
        <x:f>IF(AND(106&lt;=$H$10,$H$12="計算可能"),$L$6,NA())</x:f>
        <x:v>#N/A</x:v>
      </x:c>
      <x:c r="O175" s="103" t="e">
        <x:f>IF(AND(106&lt;=$H$10,$H$12="計算可能"),$L$7,NA())</x:f>
        <x:v>#N/A</x:v>
      </x:c>
      <x:c r="P175" s="103" t="e">
        <x:f>IF(AND(106&lt;=$H$10,$H$12="計算可能"),$L$8,NA())</x:f>
        <x:v>#N/A</x:v>
      </x:c>
      <x:c r="Q175" s="21"/>
    </x:row>
    <x:row r="176" ht="21" customHeight="1">
      <x:c r="A176" s="91" t="str">
        <x:f>IF(ISNUMBER(B176),159,"")</x:f>
      </x:c>
      <x:c r="B176" s="89"/>
      <x:c r="C176" s="70" t="str">
        <x:f>IF(AND(ISNUMBER(B175),ISNUMBER(B176)),ABS(B176-B175),"")</x:f>
      </x:c>
      <x:c r="D176" s="67" t="str">
        <x:f>IF(AND(ISNUMBER(B176),$H$12="計算可能"),IF(OR(B176&gt;$H$7,B176&lt;$H$8),"管理外",""),"")</x:f>
      </x:c>
      <x:c r="E176" s="67" t="str">
        <x:f>IF(AND(ISNUMBER(C176),$H$12="計算可能"),IF(OR(C176&gt;$L$7,C176&lt;$L$8),"管理外",""),"")</x:f>
      </x:c>
      <x:c r="F176" s="21"/>
      <x:c r="G176" s="102" t="e">
        <x:f>IF(107&lt;=$H$10,107,NA())</x:f>
        <x:v>#N/A</x:v>
      </x:c>
      <x:c r="H176" s="103" t="e">
        <x:f>IF(AND(ISNUMBER(B124),$H$12="計算可能"),B124,NA())</x:f>
        <x:v>#N/A</x:v>
      </x:c>
      <x:c r="I176" s="103" t="e">
        <x:f>IF(AND(107&lt;=$H$10,$H$12="計算可能"),$H$6,NA())</x:f>
        <x:v>#N/A</x:v>
      </x:c>
      <x:c r="J176" s="103" t="e">
        <x:f>IF(AND(107&lt;=$H$10,$H$12="計算可能"),$H$7,NA())</x:f>
        <x:v>#N/A</x:v>
      </x:c>
      <x:c r="K176" s="103" t="e">
        <x:f>IF(AND(107&lt;=$H$10,$H$12="計算可能"),$H$8,NA())</x:f>
        <x:v>#N/A</x:v>
      </x:c>
      <x:c r="L176" s="102" t="e">
        <x:f>IF(107&lt;=$H$10,107,NA())</x:f>
        <x:v>#N/A</x:v>
      </x:c>
      <x:c r="M176" s="103" t="e">
        <x:f>IF(AND(ISNUMBER(C124),$H$12="計算可能"),C124,NA())</x:f>
        <x:v>#N/A</x:v>
      </x:c>
      <x:c r="N176" s="103" t="e">
        <x:f>IF(AND(107&lt;=$H$10,$H$12="計算可能"),$L$6,NA())</x:f>
        <x:v>#N/A</x:v>
      </x:c>
      <x:c r="O176" s="103" t="e">
        <x:f>IF(AND(107&lt;=$H$10,$H$12="計算可能"),$L$7,NA())</x:f>
        <x:v>#N/A</x:v>
      </x:c>
      <x:c r="P176" s="103" t="e">
        <x:f>IF(AND(107&lt;=$H$10,$H$12="計算可能"),$L$8,NA())</x:f>
        <x:v>#N/A</x:v>
      </x:c>
      <x:c r="Q176" s="21"/>
    </x:row>
    <x:row r="177" ht="21" customHeight="1">
      <x:c r="A177" s="91" t="str">
        <x:f>IF(ISNUMBER(B177),160,"")</x:f>
      </x:c>
      <x:c r="B177" s="89"/>
      <x:c r="C177" s="70" t="str">
        <x:f>IF(AND(ISNUMBER(B176),ISNUMBER(B177)),ABS(B177-B176),"")</x:f>
      </x:c>
      <x:c r="D177" s="67" t="str">
        <x:f>IF(AND(ISNUMBER(B177),$H$12="計算可能"),IF(OR(B177&gt;$H$7,B177&lt;$H$8),"管理外",""),"")</x:f>
      </x:c>
      <x:c r="E177" s="67" t="str">
        <x:f>IF(AND(ISNUMBER(C177),$H$12="計算可能"),IF(OR(C177&gt;$L$7,C177&lt;$L$8),"管理外",""),"")</x:f>
      </x:c>
      <x:c r="F177" s="21"/>
      <x:c r="G177" s="102" t="e">
        <x:f>IF(108&lt;=$H$10,108,NA())</x:f>
        <x:v>#N/A</x:v>
      </x:c>
      <x:c r="H177" s="103" t="e">
        <x:f>IF(AND(ISNUMBER(B125),$H$12="計算可能"),B125,NA())</x:f>
        <x:v>#N/A</x:v>
      </x:c>
      <x:c r="I177" s="103" t="e">
        <x:f>IF(AND(108&lt;=$H$10,$H$12="計算可能"),$H$6,NA())</x:f>
        <x:v>#N/A</x:v>
      </x:c>
      <x:c r="J177" s="103" t="e">
        <x:f>IF(AND(108&lt;=$H$10,$H$12="計算可能"),$H$7,NA())</x:f>
        <x:v>#N/A</x:v>
      </x:c>
      <x:c r="K177" s="103" t="e">
        <x:f>IF(AND(108&lt;=$H$10,$H$12="計算可能"),$H$8,NA())</x:f>
        <x:v>#N/A</x:v>
      </x:c>
      <x:c r="L177" s="102" t="e">
        <x:f>IF(108&lt;=$H$10,108,NA())</x:f>
        <x:v>#N/A</x:v>
      </x:c>
      <x:c r="M177" s="103" t="e">
        <x:f>IF(AND(ISNUMBER(C125),$H$12="計算可能"),C125,NA())</x:f>
        <x:v>#N/A</x:v>
      </x:c>
      <x:c r="N177" s="103" t="e">
        <x:f>IF(AND(108&lt;=$H$10,$H$12="計算可能"),$L$6,NA())</x:f>
        <x:v>#N/A</x:v>
      </x:c>
      <x:c r="O177" s="103" t="e">
        <x:f>IF(AND(108&lt;=$H$10,$H$12="計算可能"),$L$7,NA())</x:f>
        <x:v>#N/A</x:v>
      </x:c>
      <x:c r="P177" s="103" t="e">
        <x:f>IF(AND(108&lt;=$H$10,$H$12="計算可能"),$L$8,NA())</x:f>
        <x:v>#N/A</x:v>
      </x:c>
      <x:c r="Q177" s="21"/>
    </x:row>
    <x:row r="178" ht="21" customHeight="1">
      <x:c r="A178" s="91" t="str">
        <x:f>IF(ISNUMBER(B178),161,"")</x:f>
      </x:c>
      <x:c r="B178" s="89"/>
      <x:c r="C178" s="70" t="str">
        <x:f>IF(AND(ISNUMBER(B177),ISNUMBER(B178)),ABS(B178-B177),"")</x:f>
      </x:c>
      <x:c r="D178" s="67" t="str">
        <x:f>IF(AND(ISNUMBER(B178),$H$12="計算可能"),IF(OR(B178&gt;$H$7,B178&lt;$H$8),"管理外",""),"")</x:f>
      </x:c>
      <x:c r="E178" s="67" t="str">
        <x:f>IF(AND(ISNUMBER(C178),$H$12="計算可能"),IF(OR(C178&gt;$L$7,C178&lt;$L$8),"管理外",""),"")</x:f>
      </x:c>
      <x:c r="F178" s="21"/>
      <x:c r="G178" s="102" t="e">
        <x:f>IF(109&lt;=$H$10,109,NA())</x:f>
        <x:v>#N/A</x:v>
      </x:c>
      <x:c r="H178" s="103" t="e">
        <x:f>IF(AND(ISNUMBER(B126),$H$12="計算可能"),B126,NA())</x:f>
        <x:v>#N/A</x:v>
      </x:c>
      <x:c r="I178" s="103" t="e">
        <x:f>IF(AND(109&lt;=$H$10,$H$12="計算可能"),$H$6,NA())</x:f>
        <x:v>#N/A</x:v>
      </x:c>
      <x:c r="J178" s="103" t="e">
        <x:f>IF(AND(109&lt;=$H$10,$H$12="計算可能"),$H$7,NA())</x:f>
        <x:v>#N/A</x:v>
      </x:c>
      <x:c r="K178" s="103" t="e">
        <x:f>IF(AND(109&lt;=$H$10,$H$12="計算可能"),$H$8,NA())</x:f>
        <x:v>#N/A</x:v>
      </x:c>
      <x:c r="L178" s="102" t="e">
        <x:f>IF(109&lt;=$H$10,109,NA())</x:f>
        <x:v>#N/A</x:v>
      </x:c>
      <x:c r="M178" s="103" t="e">
        <x:f>IF(AND(ISNUMBER(C126),$H$12="計算可能"),C126,NA())</x:f>
        <x:v>#N/A</x:v>
      </x:c>
      <x:c r="N178" s="103" t="e">
        <x:f>IF(AND(109&lt;=$H$10,$H$12="計算可能"),$L$6,NA())</x:f>
        <x:v>#N/A</x:v>
      </x:c>
      <x:c r="O178" s="103" t="e">
        <x:f>IF(AND(109&lt;=$H$10,$H$12="計算可能"),$L$7,NA())</x:f>
        <x:v>#N/A</x:v>
      </x:c>
      <x:c r="P178" s="103" t="e">
        <x:f>IF(AND(109&lt;=$H$10,$H$12="計算可能"),$L$8,NA())</x:f>
        <x:v>#N/A</x:v>
      </x:c>
      <x:c r="Q178" s="21"/>
    </x:row>
    <x:row r="179" ht="21" customHeight="1">
      <x:c r="A179" s="91" t="str">
        <x:f>IF(ISNUMBER(B179),162,"")</x:f>
      </x:c>
      <x:c r="B179" s="89"/>
      <x:c r="C179" s="70" t="str">
        <x:f>IF(AND(ISNUMBER(B178),ISNUMBER(B179)),ABS(B179-B178),"")</x:f>
      </x:c>
      <x:c r="D179" s="67" t="str">
        <x:f>IF(AND(ISNUMBER(B179),$H$12="計算可能"),IF(OR(B179&gt;$H$7,B179&lt;$H$8),"管理外",""),"")</x:f>
      </x:c>
      <x:c r="E179" s="67" t="str">
        <x:f>IF(AND(ISNUMBER(C179),$H$12="計算可能"),IF(OR(C179&gt;$L$7,C179&lt;$L$8),"管理外",""),"")</x:f>
      </x:c>
      <x:c r="F179" s="21"/>
      <x:c r="G179" s="102" t="e">
        <x:f>IF(110&lt;=$H$10,110,NA())</x:f>
        <x:v>#N/A</x:v>
      </x:c>
      <x:c r="H179" s="103" t="e">
        <x:f>IF(AND(ISNUMBER(B127),$H$12="計算可能"),B127,NA())</x:f>
        <x:v>#N/A</x:v>
      </x:c>
      <x:c r="I179" s="103" t="e">
        <x:f>IF(AND(110&lt;=$H$10,$H$12="計算可能"),$H$6,NA())</x:f>
        <x:v>#N/A</x:v>
      </x:c>
      <x:c r="J179" s="103" t="e">
        <x:f>IF(AND(110&lt;=$H$10,$H$12="計算可能"),$H$7,NA())</x:f>
        <x:v>#N/A</x:v>
      </x:c>
      <x:c r="K179" s="103" t="e">
        <x:f>IF(AND(110&lt;=$H$10,$H$12="計算可能"),$H$8,NA())</x:f>
        <x:v>#N/A</x:v>
      </x:c>
      <x:c r="L179" s="102" t="e">
        <x:f>IF(110&lt;=$H$10,110,NA())</x:f>
        <x:v>#N/A</x:v>
      </x:c>
      <x:c r="M179" s="103" t="e">
        <x:f>IF(AND(ISNUMBER(C127),$H$12="計算可能"),C127,NA())</x:f>
        <x:v>#N/A</x:v>
      </x:c>
      <x:c r="N179" s="103" t="e">
        <x:f>IF(AND(110&lt;=$H$10,$H$12="計算可能"),$L$6,NA())</x:f>
        <x:v>#N/A</x:v>
      </x:c>
      <x:c r="O179" s="103" t="e">
        <x:f>IF(AND(110&lt;=$H$10,$H$12="計算可能"),$L$7,NA())</x:f>
        <x:v>#N/A</x:v>
      </x:c>
      <x:c r="P179" s="103" t="e">
        <x:f>IF(AND(110&lt;=$H$10,$H$12="計算可能"),$L$8,NA())</x:f>
        <x:v>#N/A</x:v>
      </x:c>
      <x:c r="Q179" s="21"/>
    </x:row>
    <x:row r="180" ht="21" customHeight="1">
      <x:c r="A180" s="91" t="str">
        <x:f>IF(ISNUMBER(B180),163,"")</x:f>
      </x:c>
      <x:c r="B180" s="89"/>
      <x:c r="C180" s="70" t="str">
        <x:f>IF(AND(ISNUMBER(B179),ISNUMBER(B180)),ABS(B180-B179),"")</x:f>
      </x:c>
      <x:c r="D180" s="67" t="str">
        <x:f>IF(AND(ISNUMBER(B180),$H$12="計算可能"),IF(OR(B180&gt;$H$7,B180&lt;$H$8),"管理外",""),"")</x:f>
      </x:c>
      <x:c r="E180" s="67" t="str">
        <x:f>IF(AND(ISNUMBER(C180),$H$12="計算可能"),IF(OR(C180&gt;$L$7,C180&lt;$L$8),"管理外",""),"")</x:f>
      </x:c>
      <x:c r="F180" s="21"/>
      <x:c r="G180" s="102" t="e">
        <x:f>IF(111&lt;=$H$10,111,NA())</x:f>
        <x:v>#N/A</x:v>
      </x:c>
      <x:c r="H180" s="103" t="e">
        <x:f>IF(AND(ISNUMBER(B128),$H$12="計算可能"),B128,NA())</x:f>
        <x:v>#N/A</x:v>
      </x:c>
      <x:c r="I180" s="103" t="e">
        <x:f>IF(AND(111&lt;=$H$10,$H$12="計算可能"),$H$6,NA())</x:f>
        <x:v>#N/A</x:v>
      </x:c>
      <x:c r="J180" s="103" t="e">
        <x:f>IF(AND(111&lt;=$H$10,$H$12="計算可能"),$H$7,NA())</x:f>
        <x:v>#N/A</x:v>
      </x:c>
      <x:c r="K180" s="103" t="e">
        <x:f>IF(AND(111&lt;=$H$10,$H$12="計算可能"),$H$8,NA())</x:f>
        <x:v>#N/A</x:v>
      </x:c>
      <x:c r="L180" s="102" t="e">
        <x:f>IF(111&lt;=$H$10,111,NA())</x:f>
        <x:v>#N/A</x:v>
      </x:c>
      <x:c r="M180" s="103" t="e">
        <x:f>IF(AND(ISNUMBER(C128),$H$12="計算可能"),C128,NA())</x:f>
        <x:v>#N/A</x:v>
      </x:c>
      <x:c r="N180" s="103" t="e">
        <x:f>IF(AND(111&lt;=$H$10,$H$12="計算可能"),$L$6,NA())</x:f>
        <x:v>#N/A</x:v>
      </x:c>
      <x:c r="O180" s="103" t="e">
        <x:f>IF(AND(111&lt;=$H$10,$H$12="計算可能"),$L$7,NA())</x:f>
        <x:v>#N/A</x:v>
      </x:c>
      <x:c r="P180" s="103" t="e">
        <x:f>IF(AND(111&lt;=$H$10,$H$12="計算可能"),$L$8,NA())</x:f>
        <x:v>#N/A</x:v>
      </x:c>
      <x:c r="Q180" s="21"/>
    </x:row>
    <x:row r="181" ht="21" customHeight="1">
      <x:c r="A181" s="91" t="str">
        <x:f>IF(ISNUMBER(B181),164,"")</x:f>
      </x:c>
      <x:c r="B181" s="89"/>
      <x:c r="C181" s="70" t="str">
        <x:f>IF(AND(ISNUMBER(B180),ISNUMBER(B181)),ABS(B181-B180),"")</x:f>
      </x:c>
      <x:c r="D181" s="67" t="str">
        <x:f>IF(AND(ISNUMBER(B181),$H$12="計算可能"),IF(OR(B181&gt;$H$7,B181&lt;$H$8),"管理外",""),"")</x:f>
      </x:c>
      <x:c r="E181" s="67" t="str">
        <x:f>IF(AND(ISNUMBER(C181),$H$12="計算可能"),IF(OR(C181&gt;$L$7,C181&lt;$L$8),"管理外",""),"")</x:f>
      </x:c>
      <x:c r="F181" s="21"/>
      <x:c r="G181" s="102" t="e">
        <x:f>IF(112&lt;=$H$10,112,NA())</x:f>
        <x:v>#N/A</x:v>
      </x:c>
      <x:c r="H181" s="103" t="e">
        <x:f>IF(AND(ISNUMBER(B129),$H$12="計算可能"),B129,NA())</x:f>
        <x:v>#N/A</x:v>
      </x:c>
      <x:c r="I181" s="103" t="e">
        <x:f>IF(AND(112&lt;=$H$10,$H$12="計算可能"),$H$6,NA())</x:f>
        <x:v>#N/A</x:v>
      </x:c>
      <x:c r="J181" s="103" t="e">
        <x:f>IF(AND(112&lt;=$H$10,$H$12="計算可能"),$H$7,NA())</x:f>
        <x:v>#N/A</x:v>
      </x:c>
      <x:c r="K181" s="103" t="e">
        <x:f>IF(AND(112&lt;=$H$10,$H$12="計算可能"),$H$8,NA())</x:f>
        <x:v>#N/A</x:v>
      </x:c>
      <x:c r="L181" s="102" t="e">
        <x:f>IF(112&lt;=$H$10,112,NA())</x:f>
        <x:v>#N/A</x:v>
      </x:c>
      <x:c r="M181" s="103" t="e">
        <x:f>IF(AND(ISNUMBER(C129),$H$12="計算可能"),C129,NA())</x:f>
        <x:v>#N/A</x:v>
      </x:c>
      <x:c r="N181" s="103" t="e">
        <x:f>IF(AND(112&lt;=$H$10,$H$12="計算可能"),$L$6,NA())</x:f>
        <x:v>#N/A</x:v>
      </x:c>
      <x:c r="O181" s="103" t="e">
        <x:f>IF(AND(112&lt;=$H$10,$H$12="計算可能"),$L$7,NA())</x:f>
        <x:v>#N/A</x:v>
      </x:c>
      <x:c r="P181" s="103" t="e">
        <x:f>IF(AND(112&lt;=$H$10,$H$12="計算可能"),$L$8,NA())</x:f>
        <x:v>#N/A</x:v>
      </x:c>
      <x:c r="Q181" s="21"/>
    </x:row>
    <x:row r="182" ht="21" customHeight="1">
      <x:c r="A182" s="91" t="str">
        <x:f>IF(ISNUMBER(B182),165,"")</x:f>
      </x:c>
      <x:c r="B182" s="89"/>
      <x:c r="C182" s="70" t="str">
        <x:f>IF(AND(ISNUMBER(B181),ISNUMBER(B182)),ABS(B182-B181),"")</x:f>
      </x:c>
      <x:c r="D182" s="67" t="str">
        <x:f>IF(AND(ISNUMBER(B182),$H$12="計算可能"),IF(OR(B182&gt;$H$7,B182&lt;$H$8),"管理外",""),"")</x:f>
      </x:c>
      <x:c r="E182" s="67" t="str">
        <x:f>IF(AND(ISNUMBER(C182),$H$12="計算可能"),IF(OR(C182&gt;$L$7,C182&lt;$L$8),"管理外",""),"")</x:f>
      </x:c>
      <x:c r="F182" s="21"/>
      <x:c r="G182" s="102" t="e">
        <x:f>IF(113&lt;=$H$10,113,NA())</x:f>
        <x:v>#N/A</x:v>
      </x:c>
      <x:c r="H182" s="103" t="e">
        <x:f>IF(AND(ISNUMBER(B130),$H$12="計算可能"),B130,NA())</x:f>
        <x:v>#N/A</x:v>
      </x:c>
      <x:c r="I182" s="103" t="e">
        <x:f>IF(AND(113&lt;=$H$10,$H$12="計算可能"),$H$6,NA())</x:f>
        <x:v>#N/A</x:v>
      </x:c>
      <x:c r="J182" s="103" t="e">
        <x:f>IF(AND(113&lt;=$H$10,$H$12="計算可能"),$H$7,NA())</x:f>
        <x:v>#N/A</x:v>
      </x:c>
      <x:c r="K182" s="103" t="e">
        <x:f>IF(AND(113&lt;=$H$10,$H$12="計算可能"),$H$8,NA())</x:f>
        <x:v>#N/A</x:v>
      </x:c>
      <x:c r="L182" s="102" t="e">
        <x:f>IF(113&lt;=$H$10,113,NA())</x:f>
        <x:v>#N/A</x:v>
      </x:c>
      <x:c r="M182" s="103" t="e">
        <x:f>IF(AND(ISNUMBER(C130),$H$12="計算可能"),C130,NA())</x:f>
        <x:v>#N/A</x:v>
      </x:c>
      <x:c r="N182" s="103" t="e">
        <x:f>IF(AND(113&lt;=$H$10,$H$12="計算可能"),$L$6,NA())</x:f>
        <x:v>#N/A</x:v>
      </x:c>
      <x:c r="O182" s="103" t="e">
        <x:f>IF(AND(113&lt;=$H$10,$H$12="計算可能"),$L$7,NA())</x:f>
        <x:v>#N/A</x:v>
      </x:c>
      <x:c r="P182" s="103" t="e">
        <x:f>IF(AND(113&lt;=$H$10,$H$12="計算可能"),$L$8,NA())</x:f>
        <x:v>#N/A</x:v>
      </x:c>
      <x:c r="Q182" s="21"/>
    </x:row>
    <x:row r="183" ht="21" customHeight="1">
      <x:c r="A183" s="91" t="str">
        <x:f>IF(ISNUMBER(B183),166,"")</x:f>
      </x:c>
      <x:c r="B183" s="89"/>
      <x:c r="C183" s="70" t="str">
        <x:f>IF(AND(ISNUMBER(B182),ISNUMBER(B183)),ABS(B183-B182),"")</x:f>
      </x:c>
      <x:c r="D183" s="67" t="str">
        <x:f>IF(AND(ISNUMBER(B183),$H$12="計算可能"),IF(OR(B183&gt;$H$7,B183&lt;$H$8),"管理外",""),"")</x:f>
      </x:c>
      <x:c r="E183" s="67" t="str">
        <x:f>IF(AND(ISNUMBER(C183),$H$12="計算可能"),IF(OR(C183&gt;$L$7,C183&lt;$L$8),"管理外",""),"")</x:f>
      </x:c>
      <x:c r="F183" s="21"/>
      <x:c r="G183" s="102" t="e">
        <x:f>IF(114&lt;=$H$10,114,NA())</x:f>
        <x:v>#N/A</x:v>
      </x:c>
      <x:c r="H183" s="103" t="e">
        <x:f>IF(AND(ISNUMBER(B131),$H$12="計算可能"),B131,NA())</x:f>
        <x:v>#N/A</x:v>
      </x:c>
      <x:c r="I183" s="103" t="e">
        <x:f>IF(AND(114&lt;=$H$10,$H$12="計算可能"),$H$6,NA())</x:f>
        <x:v>#N/A</x:v>
      </x:c>
      <x:c r="J183" s="103" t="e">
        <x:f>IF(AND(114&lt;=$H$10,$H$12="計算可能"),$H$7,NA())</x:f>
        <x:v>#N/A</x:v>
      </x:c>
      <x:c r="K183" s="103" t="e">
        <x:f>IF(AND(114&lt;=$H$10,$H$12="計算可能"),$H$8,NA())</x:f>
        <x:v>#N/A</x:v>
      </x:c>
      <x:c r="L183" s="102" t="e">
        <x:f>IF(114&lt;=$H$10,114,NA())</x:f>
        <x:v>#N/A</x:v>
      </x:c>
      <x:c r="M183" s="103" t="e">
        <x:f>IF(AND(ISNUMBER(C131),$H$12="計算可能"),C131,NA())</x:f>
        <x:v>#N/A</x:v>
      </x:c>
      <x:c r="N183" s="103" t="e">
        <x:f>IF(AND(114&lt;=$H$10,$H$12="計算可能"),$L$6,NA())</x:f>
        <x:v>#N/A</x:v>
      </x:c>
      <x:c r="O183" s="103" t="e">
        <x:f>IF(AND(114&lt;=$H$10,$H$12="計算可能"),$L$7,NA())</x:f>
        <x:v>#N/A</x:v>
      </x:c>
      <x:c r="P183" s="103" t="e">
        <x:f>IF(AND(114&lt;=$H$10,$H$12="計算可能"),$L$8,NA())</x:f>
        <x:v>#N/A</x:v>
      </x:c>
      <x:c r="Q183" s="21"/>
    </x:row>
    <x:row r="184" ht="21" customHeight="1">
      <x:c r="A184" s="91" t="str">
        <x:f>IF(ISNUMBER(B184),167,"")</x:f>
      </x:c>
      <x:c r="B184" s="89"/>
      <x:c r="C184" s="70" t="str">
        <x:f>IF(AND(ISNUMBER(B183),ISNUMBER(B184)),ABS(B184-B183),"")</x:f>
      </x:c>
      <x:c r="D184" s="67" t="str">
        <x:f>IF(AND(ISNUMBER(B184),$H$12="計算可能"),IF(OR(B184&gt;$H$7,B184&lt;$H$8),"管理外",""),"")</x:f>
      </x:c>
      <x:c r="E184" s="67" t="str">
        <x:f>IF(AND(ISNUMBER(C184),$H$12="計算可能"),IF(OR(C184&gt;$L$7,C184&lt;$L$8),"管理外",""),"")</x:f>
      </x:c>
      <x:c r="F184" s="21"/>
      <x:c r="G184" s="102" t="e">
        <x:f>IF(115&lt;=$H$10,115,NA())</x:f>
        <x:v>#N/A</x:v>
      </x:c>
      <x:c r="H184" s="103" t="e">
        <x:f>IF(AND(ISNUMBER(B132),$H$12="計算可能"),B132,NA())</x:f>
        <x:v>#N/A</x:v>
      </x:c>
      <x:c r="I184" s="103" t="e">
        <x:f>IF(AND(115&lt;=$H$10,$H$12="計算可能"),$H$6,NA())</x:f>
        <x:v>#N/A</x:v>
      </x:c>
      <x:c r="J184" s="103" t="e">
        <x:f>IF(AND(115&lt;=$H$10,$H$12="計算可能"),$H$7,NA())</x:f>
        <x:v>#N/A</x:v>
      </x:c>
      <x:c r="K184" s="103" t="e">
        <x:f>IF(AND(115&lt;=$H$10,$H$12="計算可能"),$H$8,NA())</x:f>
        <x:v>#N/A</x:v>
      </x:c>
      <x:c r="L184" s="102" t="e">
        <x:f>IF(115&lt;=$H$10,115,NA())</x:f>
        <x:v>#N/A</x:v>
      </x:c>
      <x:c r="M184" s="103" t="e">
        <x:f>IF(AND(ISNUMBER(C132),$H$12="計算可能"),C132,NA())</x:f>
        <x:v>#N/A</x:v>
      </x:c>
      <x:c r="N184" s="103" t="e">
        <x:f>IF(AND(115&lt;=$H$10,$H$12="計算可能"),$L$6,NA())</x:f>
        <x:v>#N/A</x:v>
      </x:c>
      <x:c r="O184" s="103" t="e">
        <x:f>IF(AND(115&lt;=$H$10,$H$12="計算可能"),$L$7,NA())</x:f>
        <x:v>#N/A</x:v>
      </x:c>
      <x:c r="P184" s="103" t="e">
        <x:f>IF(AND(115&lt;=$H$10,$H$12="計算可能"),$L$8,NA())</x:f>
        <x:v>#N/A</x:v>
      </x:c>
      <x:c r="Q184" s="21"/>
    </x:row>
    <x:row r="185" ht="21" customHeight="1">
      <x:c r="A185" s="91" t="str">
        <x:f>IF(ISNUMBER(B185),168,"")</x:f>
      </x:c>
      <x:c r="B185" s="89"/>
      <x:c r="C185" s="70" t="str">
        <x:f>IF(AND(ISNUMBER(B184),ISNUMBER(B185)),ABS(B185-B184),"")</x:f>
      </x:c>
      <x:c r="D185" s="67" t="str">
        <x:f>IF(AND(ISNUMBER(B185),$H$12="計算可能"),IF(OR(B185&gt;$H$7,B185&lt;$H$8),"管理外",""),"")</x:f>
      </x:c>
      <x:c r="E185" s="67" t="str">
        <x:f>IF(AND(ISNUMBER(C185),$H$12="計算可能"),IF(OR(C185&gt;$L$7,C185&lt;$L$8),"管理外",""),"")</x:f>
      </x:c>
      <x:c r="F185" s="21"/>
      <x:c r="G185" s="102" t="e">
        <x:f>IF(116&lt;=$H$10,116,NA())</x:f>
        <x:v>#N/A</x:v>
      </x:c>
      <x:c r="H185" s="103" t="e">
        <x:f>IF(AND(ISNUMBER(B133),$H$12="計算可能"),B133,NA())</x:f>
        <x:v>#N/A</x:v>
      </x:c>
      <x:c r="I185" s="103" t="e">
        <x:f>IF(AND(116&lt;=$H$10,$H$12="計算可能"),$H$6,NA())</x:f>
        <x:v>#N/A</x:v>
      </x:c>
      <x:c r="J185" s="103" t="e">
        <x:f>IF(AND(116&lt;=$H$10,$H$12="計算可能"),$H$7,NA())</x:f>
        <x:v>#N/A</x:v>
      </x:c>
      <x:c r="K185" s="103" t="e">
        <x:f>IF(AND(116&lt;=$H$10,$H$12="計算可能"),$H$8,NA())</x:f>
        <x:v>#N/A</x:v>
      </x:c>
      <x:c r="L185" s="102" t="e">
        <x:f>IF(116&lt;=$H$10,116,NA())</x:f>
        <x:v>#N/A</x:v>
      </x:c>
      <x:c r="M185" s="103" t="e">
        <x:f>IF(AND(ISNUMBER(C133),$H$12="計算可能"),C133,NA())</x:f>
        <x:v>#N/A</x:v>
      </x:c>
      <x:c r="N185" s="103" t="e">
        <x:f>IF(AND(116&lt;=$H$10,$H$12="計算可能"),$L$6,NA())</x:f>
        <x:v>#N/A</x:v>
      </x:c>
      <x:c r="O185" s="103" t="e">
        <x:f>IF(AND(116&lt;=$H$10,$H$12="計算可能"),$L$7,NA())</x:f>
        <x:v>#N/A</x:v>
      </x:c>
      <x:c r="P185" s="103" t="e">
        <x:f>IF(AND(116&lt;=$H$10,$H$12="計算可能"),$L$8,NA())</x:f>
        <x:v>#N/A</x:v>
      </x:c>
      <x:c r="Q185" s="21"/>
    </x:row>
    <x:row r="186" ht="21" customHeight="1">
      <x:c r="A186" s="91" t="str">
        <x:f>IF(ISNUMBER(B186),169,"")</x:f>
      </x:c>
      <x:c r="B186" s="89"/>
      <x:c r="C186" s="70" t="str">
        <x:f>IF(AND(ISNUMBER(B185),ISNUMBER(B186)),ABS(B186-B185),"")</x:f>
      </x:c>
      <x:c r="D186" s="67" t="str">
        <x:f>IF(AND(ISNUMBER(B186),$H$12="計算可能"),IF(OR(B186&gt;$H$7,B186&lt;$H$8),"管理外",""),"")</x:f>
      </x:c>
      <x:c r="E186" s="67" t="str">
        <x:f>IF(AND(ISNUMBER(C186),$H$12="計算可能"),IF(OR(C186&gt;$L$7,C186&lt;$L$8),"管理外",""),"")</x:f>
      </x:c>
      <x:c r="F186" s="21"/>
      <x:c r="G186" s="102" t="e">
        <x:f>IF(117&lt;=$H$10,117,NA())</x:f>
        <x:v>#N/A</x:v>
      </x:c>
      <x:c r="H186" s="103" t="e">
        <x:f>IF(AND(ISNUMBER(B134),$H$12="計算可能"),B134,NA())</x:f>
        <x:v>#N/A</x:v>
      </x:c>
      <x:c r="I186" s="103" t="e">
        <x:f>IF(AND(117&lt;=$H$10,$H$12="計算可能"),$H$6,NA())</x:f>
        <x:v>#N/A</x:v>
      </x:c>
      <x:c r="J186" s="103" t="e">
        <x:f>IF(AND(117&lt;=$H$10,$H$12="計算可能"),$H$7,NA())</x:f>
        <x:v>#N/A</x:v>
      </x:c>
      <x:c r="K186" s="103" t="e">
        <x:f>IF(AND(117&lt;=$H$10,$H$12="計算可能"),$H$8,NA())</x:f>
        <x:v>#N/A</x:v>
      </x:c>
      <x:c r="L186" s="102" t="e">
        <x:f>IF(117&lt;=$H$10,117,NA())</x:f>
        <x:v>#N/A</x:v>
      </x:c>
      <x:c r="M186" s="103" t="e">
        <x:f>IF(AND(ISNUMBER(C134),$H$12="計算可能"),C134,NA())</x:f>
        <x:v>#N/A</x:v>
      </x:c>
      <x:c r="N186" s="103" t="e">
        <x:f>IF(AND(117&lt;=$H$10,$H$12="計算可能"),$L$6,NA())</x:f>
        <x:v>#N/A</x:v>
      </x:c>
      <x:c r="O186" s="103" t="e">
        <x:f>IF(AND(117&lt;=$H$10,$H$12="計算可能"),$L$7,NA())</x:f>
        <x:v>#N/A</x:v>
      </x:c>
      <x:c r="P186" s="103" t="e">
        <x:f>IF(AND(117&lt;=$H$10,$H$12="計算可能"),$L$8,NA())</x:f>
        <x:v>#N/A</x:v>
      </x:c>
      <x:c r="Q186" s="21"/>
    </x:row>
    <x:row r="187" ht="21" customHeight="1">
      <x:c r="A187" s="91" t="str">
        <x:f>IF(ISNUMBER(B187),170,"")</x:f>
      </x:c>
      <x:c r="B187" s="89"/>
      <x:c r="C187" s="70" t="str">
        <x:f>IF(AND(ISNUMBER(B186),ISNUMBER(B187)),ABS(B187-B186),"")</x:f>
      </x:c>
      <x:c r="D187" s="67" t="str">
        <x:f>IF(AND(ISNUMBER(B187),$H$12="計算可能"),IF(OR(B187&gt;$H$7,B187&lt;$H$8),"管理外",""),"")</x:f>
      </x:c>
      <x:c r="E187" s="67" t="str">
        <x:f>IF(AND(ISNUMBER(C187),$H$12="計算可能"),IF(OR(C187&gt;$L$7,C187&lt;$L$8),"管理外",""),"")</x:f>
      </x:c>
      <x:c r="F187" s="21"/>
      <x:c r="G187" s="102" t="e">
        <x:f>IF(118&lt;=$H$10,118,NA())</x:f>
        <x:v>#N/A</x:v>
      </x:c>
      <x:c r="H187" s="103" t="e">
        <x:f>IF(AND(ISNUMBER(B135),$H$12="計算可能"),B135,NA())</x:f>
        <x:v>#N/A</x:v>
      </x:c>
      <x:c r="I187" s="103" t="e">
        <x:f>IF(AND(118&lt;=$H$10,$H$12="計算可能"),$H$6,NA())</x:f>
        <x:v>#N/A</x:v>
      </x:c>
      <x:c r="J187" s="103" t="e">
        <x:f>IF(AND(118&lt;=$H$10,$H$12="計算可能"),$H$7,NA())</x:f>
        <x:v>#N/A</x:v>
      </x:c>
      <x:c r="K187" s="103" t="e">
        <x:f>IF(AND(118&lt;=$H$10,$H$12="計算可能"),$H$8,NA())</x:f>
        <x:v>#N/A</x:v>
      </x:c>
      <x:c r="L187" s="102" t="e">
        <x:f>IF(118&lt;=$H$10,118,NA())</x:f>
        <x:v>#N/A</x:v>
      </x:c>
      <x:c r="M187" s="103" t="e">
        <x:f>IF(AND(ISNUMBER(C135),$H$12="計算可能"),C135,NA())</x:f>
        <x:v>#N/A</x:v>
      </x:c>
      <x:c r="N187" s="103" t="e">
        <x:f>IF(AND(118&lt;=$H$10,$H$12="計算可能"),$L$6,NA())</x:f>
        <x:v>#N/A</x:v>
      </x:c>
      <x:c r="O187" s="103" t="e">
        <x:f>IF(AND(118&lt;=$H$10,$H$12="計算可能"),$L$7,NA())</x:f>
        <x:v>#N/A</x:v>
      </x:c>
      <x:c r="P187" s="103" t="e">
        <x:f>IF(AND(118&lt;=$H$10,$H$12="計算可能"),$L$8,NA())</x:f>
        <x:v>#N/A</x:v>
      </x:c>
      <x:c r="Q187" s="21"/>
    </x:row>
    <x:row r="188" ht="21" customHeight="1">
      <x:c r="A188" s="91" t="str">
        <x:f>IF(ISNUMBER(B188),171,"")</x:f>
      </x:c>
      <x:c r="B188" s="89"/>
      <x:c r="C188" s="70" t="str">
        <x:f>IF(AND(ISNUMBER(B187),ISNUMBER(B188)),ABS(B188-B187),"")</x:f>
      </x:c>
      <x:c r="D188" s="67" t="str">
        <x:f>IF(AND(ISNUMBER(B188),$H$12="計算可能"),IF(OR(B188&gt;$H$7,B188&lt;$H$8),"管理外",""),"")</x:f>
      </x:c>
      <x:c r="E188" s="67" t="str">
        <x:f>IF(AND(ISNUMBER(C188),$H$12="計算可能"),IF(OR(C188&gt;$L$7,C188&lt;$L$8),"管理外",""),"")</x:f>
      </x:c>
      <x:c r="F188" s="21"/>
      <x:c r="G188" s="102" t="e">
        <x:f>IF(119&lt;=$H$10,119,NA())</x:f>
        <x:v>#N/A</x:v>
      </x:c>
      <x:c r="H188" s="103" t="e">
        <x:f>IF(AND(ISNUMBER(B136),$H$12="計算可能"),B136,NA())</x:f>
        <x:v>#N/A</x:v>
      </x:c>
      <x:c r="I188" s="103" t="e">
        <x:f>IF(AND(119&lt;=$H$10,$H$12="計算可能"),$H$6,NA())</x:f>
        <x:v>#N/A</x:v>
      </x:c>
      <x:c r="J188" s="103" t="e">
        <x:f>IF(AND(119&lt;=$H$10,$H$12="計算可能"),$H$7,NA())</x:f>
        <x:v>#N/A</x:v>
      </x:c>
      <x:c r="K188" s="103" t="e">
        <x:f>IF(AND(119&lt;=$H$10,$H$12="計算可能"),$H$8,NA())</x:f>
        <x:v>#N/A</x:v>
      </x:c>
      <x:c r="L188" s="102" t="e">
        <x:f>IF(119&lt;=$H$10,119,NA())</x:f>
        <x:v>#N/A</x:v>
      </x:c>
      <x:c r="M188" s="103" t="e">
        <x:f>IF(AND(ISNUMBER(C136),$H$12="計算可能"),C136,NA())</x:f>
        <x:v>#N/A</x:v>
      </x:c>
      <x:c r="N188" s="103" t="e">
        <x:f>IF(AND(119&lt;=$H$10,$H$12="計算可能"),$L$6,NA())</x:f>
        <x:v>#N/A</x:v>
      </x:c>
      <x:c r="O188" s="103" t="e">
        <x:f>IF(AND(119&lt;=$H$10,$H$12="計算可能"),$L$7,NA())</x:f>
        <x:v>#N/A</x:v>
      </x:c>
      <x:c r="P188" s="103" t="e">
        <x:f>IF(AND(119&lt;=$H$10,$H$12="計算可能"),$L$8,NA())</x:f>
        <x:v>#N/A</x:v>
      </x:c>
      <x:c r="Q188" s="21"/>
    </x:row>
    <x:row r="189" ht="21" customHeight="1">
      <x:c r="A189" s="91" t="str">
        <x:f>IF(ISNUMBER(B189),172,"")</x:f>
      </x:c>
      <x:c r="B189" s="89"/>
      <x:c r="C189" s="70" t="str">
        <x:f>IF(AND(ISNUMBER(B188),ISNUMBER(B189)),ABS(B189-B188),"")</x:f>
      </x:c>
      <x:c r="D189" s="67" t="str">
        <x:f>IF(AND(ISNUMBER(B189),$H$12="計算可能"),IF(OR(B189&gt;$H$7,B189&lt;$H$8),"管理外",""),"")</x:f>
      </x:c>
      <x:c r="E189" s="67" t="str">
        <x:f>IF(AND(ISNUMBER(C189),$H$12="計算可能"),IF(OR(C189&gt;$L$7,C189&lt;$L$8),"管理外",""),"")</x:f>
      </x:c>
      <x:c r="F189" s="21"/>
      <x:c r="G189" s="102" t="e">
        <x:f>IF(120&lt;=$H$10,120,NA())</x:f>
        <x:v>#N/A</x:v>
      </x:c>
      <x:c r="H189" s="103" t="e">
        <x:f>IF(AND(ISNUMBER(B137),$H$12="計算可能"),B137,NA())</x:f>
        <x:v>#N/A</x:v>
      </x:c>
      <x:c r="I189" s="103" t="e">
        <x:f>IF(AND(120&lt;=$H$10,$H$12="計算可能"),$H$6,NA())</x:f>
        <x:v>#N/A</x:v>
      </x:c>
      <x:c r="J189" s="103" t="e">
        <x:f>IF(AND(120&lt;=$H$10,$H$12="計算可能"),$H$7,NA())</x:f>
        <x:v>#N/A</x:v>
      </x:c>
      <x:c r="K189" s="103" t="e">
        <x:f>IF(AND(120&lt;=$H$10,$H$12="計算可能"),$H$8,NA())</x:f>
        <x:v>#N/A</x:v>
      </x:c>
      <x:c r="L189" s="102" t="e">
        <x:f>IF(120&lt;=$H$10,120,NA())</x:f>
        <x:v>#N/A</x:v>
      </x:c>
      <x:c r="M189" s="103" t="e">
        <x:f>IF(AND(ISNUMBER(C137),$H$12="計算可能"),C137,NA())</x:f>
        <x:v>#N/A</x:v>
      </x:c>
      <x:c r="N189" s="103" t="e">
        <x:f>IF(AND(120&lt;=$H$10,$H$12="計算可能"),$L$6,NA())</x:f>
        <x:v>#N/A</x:v>
      </x:c>
      <x:c r="O189" s="103" t="e">
        <x:f>IF(AND(120&lt;=$H$10,$H$12="計算可能"),$L$7,NA())</x:f>
        <x:v>#N/A</x:v>
      </x:c>
      <x:c r="P189" s="103" t="e">
        <x:f>IF(AND(120&lt;=$H$10,$H$12="計算可能"),$L$8,NA())</x:f>
        <x:v>#N/A</x:v>
      </x:c>
      <x:c r="Q189" s="21"/>
    </x:row>
    <x:row r="190" ht="21" customHeight="1">
      <x:c r="A190" s="91" t="str">
        <x:f>IF(ISNUMBER(B190),173,"")</x:f>
      </x:c>
      <x:c r="B190" s="89"/>
      <x:c r="C190" s="70" t="str">
        <x:f>IF(AND(ISNUMBER(B189),ISNUMBER(B190)),ABS(B190-B189),"")</x:f>
      </x:c>
      <x:c r="D190" s="67" t="str">
        <x:f>IF(AND(ISNUMBER(B190),$H$12="計算可能"),IF(OR(B190&gt;$H$7,B190&lt;$H$8),"管理外",""),"")</x:f>
      </x:c>
      <x:c r="E190" s="67" t="str">
        <x:f>IF(AND(ISNUMBER(C190),$H$12="計算可能"),IF(OR(C190&gt;$L$7,C190&lt;$L$8),"管理外",""),"")</x:f>
      </x:c>
      <x:c r="F190" s="21"/>
      <x:c r="G190" s="102" t="e">
        <x:f>IF(121&lt;=$H$10,121,NA())</x:f>
        <x:v>#N/A</x:v>
      </x:c>
      <x:c r="H190" s="103" t="e">
        <x:f>IF(AND(ISNUMBER(B138),$H$12="計算可能"),B138,NA())</x:f>
        <x:v>#N/A</x:v>
      </x:c>
      <x:c r="I190" s="103" t="e">
        <x:f>IF(AND(121&lt;=$H$10,$H$12="計算可能"),$H$6,NA())</x:f>
        <x:v>#N/A</x:v>
      </x:c>
      <x:c r="J190" s="103" t="e">
        <x:f>IF(AND(121&lt;=$H$10,$H$12="計算可能"),$H$7,NA())</x:f>
        <x:v>#N/A</x:v>
      </x:c>
      <x:c r="K190" s="103" t="e">
        <x:f>IF(AND(121&lt;=$H$10,$H$12="計算可能"),$H$8,NA())</x:f>
        <x:v>#N/A</x:v>
      </x:c>
      <x:c r="L190" s="102" t="e">
        <x:f>IF(121&lt;=$H$10,121,NA())</x:f>
        <x:v>#N/A</x:v>
      </x:c>
      <x:c r="M190" s="103" t="e">
        <x:f>IF(AND(ISNUMBER(C138),$H$12="計算可能"),C138,NA())</x:f>
        <x:v>#N/A</x:v>
      </x:c>
      <x:c r="N190" s="103" t="e">
        <x:f>IF(AND(121&lt;=$H$10,$H$12="計算可能"),$L$6,NA())</x:f>
        <x:v>#N/A</x:v>
      </x:c>
      <x:c r="O190" s="103" t="e">
        <x:f>IF(AND(121&lt;=$H$10,$H$12="計算可能"),$L$7,NA())</x:f>
        <x:v>#N/A</x:v>
      </x:c>
      <x:c r="P190" s="103" t="e">
        <x:f>IF(AND(121&lt;=$H$10,$H$12="計算可能"),$L$8,NA())</x:f>
        <x:v>#N/A</x:v>
      </x:c>
      <x:c r="Q190" s="21"/>
    </x:row>
    <x:row r="191" ht="21" customHeight="1">
      <x:c r="A191" s="91" t="str">
        <x:f>IF(ISNUMBER(B191),174,"")</x:f>
      </x:c>
      <x:c r="B191" s="89"/>
      <x:c r="C191" s="70" t="str">
        <x:f>IF(AND(ISNUMBER(B190),ISNUMBER(B191)),ABS(B191-B190),"")</x:f>
      </x:c>
      <x:c r="D191" s="67" t="str">
        <x:f>IF(AND(ISNUMBER(B191),$H$12="計算可能"),IF(OR(B191&gt;$H$7,B191&lt;$H$8),"管理外",""),"")</x:f>
      </x:c>
      <x:c r="E191" s="67" t="str">
        <x:f>IF(AND(ISNUMBER(C191),$H$12="計算可能"),IF(OR(C191&gt;$L$7,C191&lt;$L$8),"管理外",""),"")</x:f>
      </x:c>
      <x:c r="F191" s="21"/>
      <x:c r="G191" s="102" t="e">
        <x:f>IF(122&lt;=$H$10,122,NA())</x:f>
        <x:v>#N/A</x:v>
      </x:c>
      <x:c r="H191" s="103" t="e">
        <x:f>IF(AND(ISNUMBER(B139),$H$12="計算可能"),B139,NA())</x:f>
        <x:v>#N/A</x:v>
      </x:c>
      <x:c r="I191" s="103" t="e">
        <x:f>IF(AND(122&lt;=$H$10,$H$12="計算可能"),$H$6,NA())</x:f>
        <x:v>#N/A</x:v>
      </x:c>
      <x:c r="J191" s="103" t="e">
        <x:f>IF(AND(122&lt;=$H$10,$H$12="計算可能"),$H$7,NA())</x:f>
        <x:v>#N/A</x:v>
      </x:c>
      <x:c r="K191" s="103" t="e">
        <x:f>IF(AND(122&lt;=$H$10,$H$12="計算可能"),$H$8,NA())</x:f>
        <x:v>#N/A</x:v>
      </x:c>
      <x:c r="L191" s="102" t="e">
        <x:f>IF(122&lt;=$H$10,122,NA())</x:f>
        <x:v>#N/A</x:v>
      </x:c>
      <x:c r="M191" s="103" t="e">
        <x:f>IF(AND(ISNUMBER(C139),$H$12="計算可能"),C139,NA())</x:f>
        <x:v>#N/A</x:v>
      </x:c>
      <x:c r="N191" s="103" t="e">
        <x:f>IF(AND(122&lt;=$H$10,$H$12="計算可能"),$L$6,NA())</x:f>
        <x:v>#N/A</x:v>
      </x:c>
      <x:c r="O191" s="103" t="e">
        <x:f>IF(AND(122&lt;=$H$10,$H$12="計算可能"),$L$7,NA())</x:f>
        <x:v>#N/A</x:v>
      </x:c>
      <x:c r="P191" s="103" t="e">
        <x:f>IF(AND(122&lt;=$H$10,$H$12="計算可能"),$L$8,NA())</x:f>
        <x:v>#N/A</x:v>
      </x:c>
      <x:c r="Q191" s="21"/>
    </x:row>
    <x:row r="192" ht="21" customHeight="1">
      <x:c r="A192" s="91" t="str">
        <x:f>IF(ISNUMBER(B192),175,"")</x:f>
      </x:c>
      <x:c r="B192" s="89"/>
      <x:c r="C192" s="70" t="str">
        <x:f>IF(AND(ISNUMBER(B191),ISNUMBER(B192)),ABS(B192-B191),"")</x:f>
      </x:c>
      <x:c r="D192" s="67" t="str">
        <x:f>IF(AND(ISNUMBER(B192),$H$12="計算可能"),IF(OR(B192&gt;$H$7,B192&lt;$H$8),"管理外",""),"")</x:f>
      </x:c>
      <x:c r="E192" s="67" t="str">
        <x:f>IF(AND(ISNUMBER(C192),$H$12="計算可能"),IF(OR(C192&gt;$L$7,C192&lt;$L$8),"管理外",""),"")</x:f>
      </x:c>
      <x:c r="F192" s="21"/>
      <x:c r="G192" s="102" t="e">
        <x:f>IF(123&lt;=$H$10,123,NA())</x:f>
        <x:v>#N/A</x:v>
      </x:c>
      <x:c r="H192" s="103" t="e">
        <x:f>IF(AND(ISNUMBER(B140),$H$12="計算可能"),B140,NA())</x:f>
        <x:v>#N/A</x:v>
      </x:c>
      <x:c r="I192" s="103" t="e">
        <x:f>IF(AND(123&lt;=$H$10,$H$12="計算可能"),$H$6,NA())</x:f>
        <x:v>#N/A</x:v>
      </x:c>
      <x:c r="J192" s="103" t="e">
        <x:f>IF(AND(123&lt;=$H$10,$H$12="計算可能"),$H$7,NA())</x:f>
        <x:v>#N/A</x:v>
      </x:c>
      <x:c r="K192" s="103" t="e">
        <x:f>IF(AND(123&lt;=$H$10,$H$12="計算可能"),$H$8,NA())</x:f>
        <x:v>#N/A</x:v>
      </x:c>
      <x:c r="L192" s="102" t="e">
        <x:f>IF(123&lt;=$H$10,123,NA())</x:f>
        <x:v>#N/A</x:v>
      </x:c>
      <x:c r="M192" s="103" t="e">
        <x:f>IF(AND(ISNUMBER(C140),$H$12="計算可能"),C140,NA())</x:f>
        <x:v>#N/A</x:v>
      </x:c>
      <x:c r="N192" s="103" t="e">
        <x:f>IF(AND(123&lt;=$H$10,$H$12="計算可能"),$L$6,NA())</x:f>
        <x:v>#N/A</x:v>
      </x:c>
      <x:c r="O192" s="103" t="e">
        <x:f>IF(AND(123&lt;=$H$10,$H$12="計算可能"),$L$7,NA())</x:f>
        <x:v>#N/A</x:v>
      </x:c>
      <x:c r="P192" s="103" t="e">
        <x:f>IF(AND(123&lt;=$H$10,$H$12="計算可能"),$L$8,NA())</x:f>
        <x:v>#N/A</x:v>
      </x:c>
      <x:c r="Q192" s="21"/>
    </x:row>
    <x:row r="193" ht="21" customHeight="1">
      <x:c r="A193" s="91" t="str">
        <x:f>IF(ISNUMBER(B193),176,"")</x:f>
      </x:c>
      <x:c r="B193" s="89"/>
      <x:c r="C193" s="70" t="str">
        <x:f>IF(AND(ISNUMBER(B192),ISNUMBER(B193)),ABS(B193-B192),"")</x:f>
      </x:c>
      <x:c r="D193" s="67" t="str">
        <x:f>IF(AND(ISNUMBER(B193),$H$12="計算可能"),IF(OR(B193&gt;$H$7,B193&lt;$H$8),"管理外",""),"")</x:f>
      </x:c>
      <x:c r="E193" s="67" t="str">
        <x:f>IF(AND(ISNUMBER(C193),$H$12="計算可能"),IF(OR(C193&gt;$L$7,C193&lt;$L$8),"管理外",""),"")</x:f>
      </x:c>
      <x:c r="F193" s="21"/>
      <x:c r="G193" s="102" t="e">
        <x:f>IF(124&lt;=$H$10,124,NA())</x:f>
        <x:v>#N/A</x:v>
      </x:c>
      <x:c r="H193" s="103" t="e">
        <x:f>IF(AND(ISNUMBER(B141),$H$12="計算可能"),B141,NA())</x:f>
        <x:v>#N/A</x:v>
      </x:c>
      <x:c r="I193" s="103" t="e">
        <x:f>IF(AND(124&lt;=$H$10,$H$12="計算可能"),$H$6,NA())</x:f>
        <x:v>#N/A</x:v>
      </x:c>
      <x:c r="J193" s="103" t="e">
        <x:f>IF(AND(124&lt;=$H$10,$H$12="計算可能"),$H$7,NA())</x:f>
        <x:v>#N/A</x:v>
      </x:c>
      <x:c r="K193" s="103" t="e">
        <x:f>IF(AND(124&lt;=$H$10,$H$12="計算可能"),$H$8,NA())</x:f>
        <x:v>#N/A</x:v>
      </x:c>
      <x:c r="L193" s="102" t="e">
        <x:f>IF(124&lt;=$H$10,124,NA())</x:f>
        <x:v>#N/A</x:v>
      </x:c>
      <x:c r="M193" s="103" t="e">
        <x:f>IF(AND(ISNUMBER(C141),$H$12="計算可能"),C141,NA())</x:f>
        <x:v>#N/A</x:v>
      </x:c>
      <x:c r="N193" s="103" t="e">
        <x:f>IF(AND(124&lt;=$H$10,$H$12="計算可能"),$L$6,NA())</x:f>
        <x:v>#N/A</x:v>
      </x:c>
      <x:c r="O193" s="103" t="e">
        <x:f>IF(AND(124&lt;=$H$10,$H$12="計算可能"),$L$7,NA())</x:f>
        <x:v>#N/A</x:v>
      </x:c>
      <x:c r="P193" s="103" t="e">
        <x:f>IF(AND(124&lt;=$H$10,$H$12="計算可能"),$L$8,NA())</x:f>
        <x:v>#N/A</x:v>
      </x:c>
      <x:c r="Q193" s="21"/>
    </x:row>
    <x:row r="194" ht="21" customHeight="1">
      <x:c r="A194" s="91" t="str">
        <x:f>IF(ISNUMBER(B194),177,"")</x:f>
      </x:c>
      <x:c r="B194" s="89"/>
      <x:c r="C194" s="70" t="str">
        <x:f>IF(AND(ISNUMBER(B193),ISNUMBER(B194)),ABS(B194-B193),"")</x:f>
      </x:c>
      <x:c r="D194" s="67" t="str">
        <x:f>IF(AND(ISNUMBER(B194),$H$12="計算可能"),IF(OR(B194&gt;$H$7,B194&lt;$H$8),"管理外",""),"")</x:f>
      </x:c>
      <x:c r="E194" s="67" t="str">
        <x:f>IF(AND(ISNUMBER(C194),$H$12="計算可能"),IF(OR(C194&gt;$L$7,C194&lt;$L$8),"管理外",""),"")</x:f>
      </x:c>
      <x:c r="F194" s="21"/>
      <x:c r="G194" s="102" t="e">
        <x:f>IF(125&lt;=$H$10,125,NA())</x:f>
        <x:v>#N/A</x:v>
      </x:c>
      <x:c r="H194" s="103" t="e">
        <x:f>IF(AND(ISNUMBER(B142),$H$12="計算可能"),B142,NA())</x:f>
        <x:v>#N/A</x:v>
      </x:c>
      <x:c r="I194" s="103" t="e">
        <x:f>IF(AND(125&lt;=$H$10,$H$12="計算可能"),$H$6,NA())</x:f>
        <x:v>#N/A</x:v>
      </x:c>
      <x:c r="J194" s="103" t="e">
        <x:f>IF(AND(125&lt;=$H$10,$H$12="計算可能"),$H$7,NA())</x:f>
        <x:v>#N/A</x:v>
      </x:c>
      <x:c r="K194" s="103" t="e">
        <x:f>IF(AND(125&lt;=$H$10,$H$12="計算可能"),$H$8,NA())</x:f>
        <x:v>#N/A</x:v>
      </x:c>
      <x:c r="L194" s="102" t="e">
        <x:f>IF(125&lt;=$H$10,125,NA())</x:f>
        <x:v>#N/A</x:v>
      </x:c>
      <x:c r="M194" s="103" t="e">
        <x:f>IF(AND(ISNUMBER(C142),$H$12="計算可能"),C142,NA())</x:f>
        <x:v>#N/A</x:v>
      </x:c>
      <x:c r="N194" s="103" t="e">
        <x:f>IF(AND(125&lt;=$H$10,$H$12="計算可能"),$L$6,NA())</x:f>
        <x:v>#N/A</x:v>
      </x:c>
      <x:c r="O194" s="103" t="e">
        <x:f>IF(AND(125&lt;=$H$10,$H$12="計算可能"),$L$7,NA())</x:f>
        <x:v>#N/A</x:v>
      </x:c>
      <x:c r="P194" s="103" t="e">
        <x:f>IF(AND(125&lt;=$H$10,$H$12="計算可能"),$L$8,NA())</x:f>
        <x:v>#N/A</x:v>
      </x:c>
      <x:c r="Q194" s="21"/>
    </x:row>
    <x:row r="195" ht="21" customHeight="1">
      <x:c r="A195" s="91" t="str">
        <x:f>IF(ISNUMBER(B195),178,"")</x:f>
      </x:c>
      <x:c r="B195" s="89"/>
      <x:c r="C195" s="70" t="str">
        <x:f>IF(AND(ISNUMBER(B194),ISNUMBER(B195)),ABS(B195-B194),"")</x:f>
      </x:c>
      <x:c r="D195" s="67" t="str">
        <x:f>IF(AND(ISNUMBER(B195),$H$12="計算可能"),IF(OR(B195&gt;$H$7,B195&lt;$H$8),"管理外",""),"")</x:f>
      </x:c>
      <x:c r="E195" s="67" t="str">
        <x:f>IF(AND(ISNUMBER(C195),$H$12="計算可能"),IF(OR(C195&gt;$L$7,C195&lt;$L$8),"管理外",""),"")</x:f>
      </x:c>
      <x:c r="F195" s="21"/>
      <x:c r="G195" s="102" t="e">
        <x:f>IF(126&lt;=$H$10,126,NA())</x:f>
        <x:v>#N/A</x:v>
      </x:c>
      <x:c r="H195" s="103" t="e">
        <x:f>IF(AND(ISNUMBER(B143),$H$12="計算可能"),B143,NA())</x:f>
        <x:v>#N/A</x:v>
      </x:c>
      <x:c r="I195" s="103" t="e">
        <x:f>IF(AND(126&lt;=$H$10,$H$12="計算可能"),$H$6,NA())</x:f>
        <x:v>#N/A</x:v>
      </x:c>
      <x:c r="J195" s="103" t="e">
        <x:f>IF(AND(126&lt;=$H$10,$H$12="計算可能"),$H$7,NA())</x:f>
        <x:v>#N/A</x:v>
      </x:c>
      <x:c r="K195" s="103" t="e">
        <x:f>IF(AND(126&lt;=$H$10,$H$12="計算可能"),$H$8,NA())</x:f>
        <x:v>#N/A</x:v>
      </x:c>
      <x:c r="L195" s="102" t="e">
        <x:f>IF(126&lt;=$H$10,126,NA())</x:f>
        <x:v>#N/A</x:v>
      </x:c>
      <x:c r="M195" s="103" t="e">
        <x:f>IF(AND(ISNUMBER(C143),$H$12="計算可能"),C143,NA())</x:f>
        <x:v>#N/A</x:v>
      </x:c>
      <x:c r="N195" s="103" t="e">
        <x:f>IF(AND(126&lt;=$H$10,$H$12="計算可能"),$L$6,NA())</x:f>
        <x:v>#N/A</x:v>
      </x:c>
      <x:c r="O195" s="103" t="e">
        <x:f>IF(AND(126&lt;=$H$10,$H$12="計算可能"),$L$7,NA())</x:f>
        <x:v>#N/A</x:v>
      </x:c>
      <x:c r="P195" s="103" t="e">
        <x:f>IF(AND(126&lt;=$H$10,$H$12="計算可能"),$L$8,NA())</x:f>
        <x:v>#N/A</x:v>
      </x:c>
      <x:c r="Q195" s="21"/>
    </x:row>
    <x:row r="196" ht="21" customHeight="1">
      <x:c r="A196" s="91" t="str">
        <x:f>IF(ISNUMBER(B196),179,"")</x:f>
      </x:c>
      <x:c r="B196" s="89"/>
      <x:c r="C196" s="70" t="str">
        <x:f>IF(AND(ISNUMBER(B195),ISNUMBER(B196)),ABS(B196-B195),"")</x:f>
      </x:c>
      <x:c r="D196" s="67" t="str">
        <x:f>IF(AND(ISNUMBER(B196),$H$12="計算可能"),IF(OR(B196&gt;$H$7,B196&lt;$H$8),"管理外",""),"")</x:f>
      </x:c>
      <x:c r="E196" s="67" t="str">
        <x:f>IF(AND(ISNUMBER(C196),$H$12="計算可能"),IF(OR(C196&gt;$L$7,C196&lt;$L$8),"管理外",""),"")</x:f>
      </x:c>
      <x:c r="F196" s="21"/>
      <x:c r="G196" s="102" t="e">
        <x:f>IF(127&lt;=$H$10,127,NA())</x:f>
        <x:v>#N/A</x:v>
      </x:c>
      <x:c r="H196" s="103" t="e">
        <x:f>IF(AND(ISNUMBER(B144),$H$12="計算可能"),B144,NA())</x:f>
        <x:v>#N/A</x:v>
      </x:c>
      <x:c r="I196" s="103" t="e">
        <x:f>IF(AND(127&lt;=$H$10,$H$12="計算可能"),$H$6,NA())</x:f>
        <x:v>#N/A</x:v>
      </x:c>
      <x:c r="J196" s="103" t="e">
        <x:f>IF(AND(127&lt;=$H$10,$H$12="計算可能"),$H$7,NA())</x:f>
        <x:v>#N/A</x:v>
      </x:c>
      <x:c r="K196" s="103" t="e">
        <x:f>IF(AND(127&lt;=$H$10,$H$12="計算可能"),$H$8,NA())</x:f>
        <x:v>#N/A</x:v>
      </x:c>
      <x:c r="L196" s="102" t="e">
        <x:f>IF(127&lt;=$H$10,127,NA())</x:f>
        <x:v>#N/A</x:v>
      </x:c>
      <x:c r="M196" s="103" t="e">
        <x:f>IF(AND(ISNUMBER(C144),$H$12="計算可能"),C144,NA())</x:f>
        <x:v>#N/A</x:v>
      </x:c>
      <x:c r="N196" s="103" t="e">
        <x:f>IF(AND(127&lt;=$H$10,$H$12="計算可能"),$L$6,NA())</x:f>
        <x:v>#N/A</x:v>
      </x:c>
      <x:c r="O196" s="103" t="e">
        <x:f>IF(AND(127&lt;=$H$10,$H$12="計算可能"),$L$7,NA())</x:f>
        <x:v>#N/A</x:v>
      </x:c>
      <x:c r="P196" s="103" t="e">
        <x:f>IF(AND(127&lt;=$H$10,$H$12="計算可能"),$L$8,NA())</x:f>
        <x:v>#N/A</x:v>
      </x:c>
      <x:c r="Q196" s="21"/>
    </x:row>
    <x:row r="197" ht="21" customHeight="1">
      <x:c r="A197" s="91" t="str">
        <x:f>IF(ISNUMBER(B197),180,"")</x:f>
      </x:c>
      <x:c r="B197" s="89"/>
      <x:c r="C197" s="70" t="str">
        <x:f>IF(AND(ISNUMBER(B196),ISNUMBER(B197)),ABS(B197-B196),"")</x:f>
      </x:c>
      <x:c r="D197" s="67" t="str">
        <x:f>IF(AND(ISNUMBER(B197),$H$12="計算可能"),IF(OR(B197&gt;$H$7,B197&lt;$H$8),"管理外",""),"")</x:f>
      </x:c>
      <x:c r="E197" s="67" t="str">
        <x:f>IF(AND(ISNUMBER(C197),$H$12="計算可能"),IF(OR(C197&gt;$L$7,C197&lt;$L$8),"管理外",""),"")</x:f>
      </x:c>
      <x:c r="F197" s="21"/>
      <x:c r="G197" s="102" t="e">
        <x:f>IF(128&lt;=$H$10,128,NA())</x:f>
        <x:v>#N/A</x:v>
      </x:c>
      <x:c r="H197" s="103" t="e">
        <x:f>IF(AND(ISNUMBER(B145),$H$12="計算可能"),B145,NA())</x:f>
        <x:v>#N/A</x:v>
      </x:c>
      <x:c r="I197" s="103" t="e">
        <x:f>IF(AND(128&lt;=$H$10,$H$12="計算可能"),$H$6,NA())</x:f>
        <x:v>#N/A</x:v>
      </x:c>
      <x:c r="J197" s="103" t="e">
        <x:f>IF(AND(128&lt;=$H$10,$H$12="計算可能"),$H$7,NA())</x:f>
        <x:v>#N/A</x:v>
      </x:c>
      <x:c r="K197" s="103" t="e">
        <x:f>IF(AND(128&lt;=$H$10,$H$12="計算可能"),$H$8,NA())</x:f>
        <x:v>#N/A</x:v>
      </x:c>
      <x:c r="L197" s="102" t="e">
        <x:f>IF(128&lt;=$H$10,128,NA())</x:f>
        <x:v>#N/A</x:v>
      </x:c>
      <x:c r="M197" s="103" t="e">
        <x:f>IF(AND(ISNUMBER(C145),$H$12="計算可能"),C145,NA())</x:f>
        <x:v>#N/A</x:v>
      </x:c>
      <x:c r="N197" s="103" t="e">
        <x:f>IF(AND(128&lt;=$H$10,$H$12="計算可能"),$L$6,NA())</x:f>
        <x:v>#N/A</x:v>
      </x:c>
      <x:c r="O197" s="103" t="e">
        <x:f>IF(AND(128&lt;=$H$10,$H$12="計算可能"),$L$7,NA())</x:f>
        <x:v>#N/A</x:v>
      </x:c>
      <x:c r="P197" s="103" t="e">
        <x:f>IF(AND(128&lt;=$H$10,$H$12="計算可能"),$L$8,NA())</x:f>
        <x:v>#N/A</x:v>
      </x:c>
      <x:c r="Q197" s="21"/>
    </x:row>
    <x:row r="198" ht="21" customHeight="1">
      <x:c r="A198" s="91" t="str">
        <x:f>IF(ISNUMBER(B198),181,"")</x:f>
      </x:c>
      <x:c r="B198" s="89"/>
      <x:c r="C198" s="70" t="str">
        <x:f>IF(AND(ISNUMBER(B197),ISNUMBER(B198)),ABS(B198-B197),"")</x:f>
      </x:c>
      <x:c r="D198" s="67" t="str">
        <x:f>IF(AND(ISNUMBER(B198),$H$12="計算可能"),IF(OR(B198&gt;$H$7,B198&lt;$H$8),"管理外",""),"")</x:f>
      </x:c>
      <x:c r="E198" s="67" t="str">
        <x:f>IF(AND(ISNUMBER(C198),$H$12="計算可能"),IF(OR(C198&gt;$L$7,C198&lt;$L$8),"管理外",""),"")</x:f>
      </x:c>
      <x:c r="F198" s="21"/>
      <x:c r="G198" s="102" t="e">
        <x:f>IF(129&lt;=$H$10,129,NA())</x:f>
        <x:v>#N/A</x:v>
      </x:c>
      <x:c r="H198" s="103" t="e">
        <x:f>IF(AND(ISNUMBER(B146),$H$12="計算可能"),B146,NA())</x:f>
        <x:v>#N/A</x:v>
      </x:c>
      <x:c r="I198" s="103" t="e">
        <x:f>IF(AND(129&lt;=$H$10,$H$12="計算可能"),$H$6,NA())</x:f>
        <x:v>#N/A</x:v>
      </x:c>
      <x:c r="J198" s="103" t="e">
        <x:f>IF(AND(129&lt;=$H$10,$H$12="計算可能"),$H$7,NA())</x:f>
        <x:v>#N/A</x:v>
      </x:c>
      <x:c r="K198" s="103" t="e">
        <x:f>IF(AND(129&lt;=$H$10,$H$12="計算可能"),$H$8,NA())</x:f>
        <x:v>#N/A</x:v>
      </x:c>
      <x:c r="L198" s="102" t="e">
        <x:f>IF(129&lt;=$H$10,129,NA())</x:f>
        <x:v>#N/A</x:v>
      </x:c>
      <x:c r="M198" s="103" t="e">
        <x:f>IF(AND(ISNUMBER(C146),$H$12="計算可能"),C146,NA())</x:f>
        <x:v>#N/A</x:v>
      </x:c>
      <x:c r="N198" s="103" t="e">
        <x:f>IF(AND(129&lt;=$H$10,$H$12="計算可能"),$L$6,NA())</x:f>
        <x:v>#N/A</x:v>
      </x:c>
      <x:c r="O198" s="103" t="e">
        <x:f>IF(AND(129&lt;=$H$10,$H$12="計算可能"),$L$7,NA())</x:f>
        <x:v>#N/A</x:v>
      </x:c>
      <x:c r="P198" s="103" t="e">
        <x:f>IF(AND(129&lt;=$H$10,$H$12="計算可能"),$L$8,NA())</x:f>
        <x:v>#N/A</x:v>
      </x:c>
      <x:c r="Q198" s="21"/>
    </x:row>
    <x:row r="199" ht="21" customHeight="1">
      <x:c r="A199" s="91" t="str">
        <x:f>IF(ISNUMBER(B199),182,"")</x:f>
      </x:c>
      <x:c r="B199" s="89"/>
      <x:c r="C199" s="70" t="str">
        <x:f>IF(AND(ISNUMBER(B198),ISNUMBER(B199)),ABS(B199-B198),"")</x:f>
      </x:c>
      <x:c r="D199" s="67" t="str">
        <x:f>IF(AND(ISNUMBER(B199),$H$12="計算可能"),IF(OR(B199&gt;$H$7,B199&lt;$H$8),"管理外",""),"")</x:f>
      </x:c>
      <x:c r="E199" s="67" t="str">
        <x:f>IF(AND(ISNUMBER(C199),$H$12="計算可能"),IF(OR(C199&gt;$L$7,C199&lt;$L$8),"管理外",""),"")</x:f>
      </x:c>
      <x:c r="F199" s="21"/>
      <x:c r="G199" s="102" t="e">
        <x:f>IF(130&lt;=$H$10,130,NA())</x:f>
        <x:v>#N/A</x:v>
      </x:c>
      <x:c r="H199" s="103" t="e">
        <x:f>IF(AND(ISNUMBER(B147),$H$12="計算可能"),B147,NA())</x:f>
        <x:v>#N/A</x:v>
      </x:c>
      <x:c r="I199" s="103" t="e">
        <x:f>IF(AND(130&lt;=$H$10,$H$12="計算可能"),$H$6,NA())</x:f>
        <x:v>#N/A</x:v>
      </x:c>
      <x:c r="J199" s="103" t="e">
        <x:f>IF(AND(130&lt;=$H$10,$H$12="計算可能"),$H$7,NA())</x:f>
        <x:v>#N/A</x:v>
      </x:c>
      <x:c r="K199" s="103" t="e">
        <x:f>IF(AND(130&lt;=$H$10,$H$12="計算可能"),$H$8,NA())</x:f>
        <x:v>#N/A</x:v>
      </x:c>
      <x:c r="L199" s="102" t="e">
        <x:f>IF(130&lt;=$H$10,130,NA())</x:f>
        <x:v>#N/A</x:v>
      </x:c>
      <x:c r="M199" s="103" t="e">
        <x:f>IF(AND(ISNUMBER(C147),$H$12="計算可能"),C147,NA())</x:f>
        <x:v>#N/A</x:v>
      </x:c>
      <x:c r="N199" s="103" t="e">
        <x:f>IF(AND(130&lt;=$H$10,$H$12="計算可能"),$L$6,NA())</x:f>
        <x:v>#N/A</x:v>
      </x:c>
      <x:c r="O199" s="103" t="e">
        <x:f>IF(AND(130&lt;=$H$10,$H$12="計算可能"),$L$7,NA())</x:f>
        <x:v>#N/A</x:v>
      </x:c>
      <x:c r="P199" s="103" t="e">
        <x:f>IF(AND(130&lt;=$H$10,$H$12="計算可能"),$L$8,NA())</x:f>
        <x:v>#N/A</x:v>
      </x:c>
      <x:c r="Q199" s="21"/>
    </x:row>
    <x:row r="200" ht="21" customHeight="1">
      <x:c r="A200" s="91" t="str">
        <x:f>IF(ISNUMBER(B200),183,"")</x:f>
      </x:c>
      <x:c r="B200" s="89"/>
      <x:c r="C200" s="70" t="str">
        <x:f>IF(AND(ISNUMBER(B199),ISNUMBER(B200)),ABS(B200-B199),"")</x:f>
      </x:c>
      <x:c r="D200" s="67" t="str">
        <x:f>IF(AND(ISNUMBER(B200),$H$12="計算可能"),IF(OR(B200&gt;$H$7,B200&lt;$H$8),"管理外",""),"")</x:f>
      </x:c>
      <x:c r="E200" s="67" t="str">
        <x:f>IF(AND(ISNUMBER(C200),$H$12="計算可能"),IF(OR(C200&gt;$L$7,C200&lt;$L$8),"管理外",""),"")</x:f>
      </x:c>
      <x:c r="F200" s="21"/>
      <x:c r="G200" s="102" t="e">
        <x:f>IF(131&lt;=$H$10,131,NA())</x:f>
        <x:v>#N/A</x:v>
      </x:c>
      <x:c r="H200" s="103" t="e">
        <x:f>IF(AND(ISNUMBER(B148),$H$12="計算可能"),B148,NA())</x:f>
        <x:v>#N/A</x:v>
      </x:c>
      <x:c r="I200" s="103" t="e">
        <x:f>IF(AND(131&lt;=$H$10,$H$12="計算可能"),$H$6,NA())</x:f>
        <x:v>#N/A</x:v>
      </x:c>
      <x:c r="J200" s="103" t="e">
        <x:f>IF(AND(131&lt;=$H$10,$H$12="計算可能"),$H$7,NA())</x:f>
        <x:v>#N/A</x:v>
      </x:c>
      <x:c r="K200" s="103" t="e">
        <x:f>IF(AND(131&lt;=$H$10,$H$12="計算可能"),$H$8,NA())</x:f>
        <x:v>#N/A</x:v>
      </x:c>
      <x:c r="L200" s="102" t="e">
        <x:f>IF(131&lt;=$H$10,131,NA())</x:f>
        <x:v>#N/A</x:v>
      </x:c>
      <x:c r="M200" s="103" t="e">
        <x:f>IF(AND(ISNUMBER(C148),$H$12="計算可能"),C148,NA())</x:f>
        <x:v>#N/A</x:v>
      </x:c>
      <x:c r="N200" s="103" t="e">
        <x:f>IF(AND(131&lt;=$H$10,$H$12="計算可能"),$L$6,NA())</x:f>
        <x:v>#N/A</x:v>
      </x:c>
      <x:c r="O200" s="103" t="e">
        <x:f>IF(AND(131&lt;=$H$10,$H$12="計算可能"),$L$7,NA())</x:f>
        <x:v>#N/A</x:v>
      </x:c>
      <x:c r="P200" s="103" t="e">
        <x:f>IF(AND(131&lt;=$H$10,$H$12="計算可能"),$L$8,NA())</x:f>
        <x:v>#N/A</x:v>
      </x:c>
      <x:c r="Q200" s="21"/>
    </x:row>
    <x:row r="201" ht="21" customHeight="1">
      <x:c r="A201" s="91" t="str">
        <x:f>IF(ISNUMBER(B201),184,"")</x:f>
      </x:c>
      <x:c r="B201" s="89"/>
      <x:c r="C201" s="70" t="str">
        <x:f>IF(AND(ISNUMBER(B200),ISNUMBER(B201)),ABS(B201-B200),"")</x:f>
      </x:c>
      <x:c r="D201" s="67" t="str">
        <x:f>IF(AND(ISNUMBER(B201),$H$12="計算可能"),IF(OR(B201&gt;$H$7,B201&lt;$H$8),"管理外",""),"")</x:f>
      </x:c>
      <x:c r="E201" s="67" t="str">
        <x:f>IF(AND(ISNUMBER(C201),$H$12="計算可能"),IF(OR(C201&gt;$L$7,C201&lt;$L$8),"管理外",""),"")</x:f>
      </x:c>
      <x:c r="F201" s="21"/>
      <x:c r="G201" s="102" t="e">
        <x:f>IF(132&lt;=$H$10,132,NA())</x:f>
        <x:v>#N/A</x:v>
      </x:c>
      <x:c r="H201" s="103" t="e">
        <x:f>IF(AND(ISNUMBER(B149),$H$12="計算可能"),B149,NA())</x:f>
        <x:v>#N/A</x:v>
      </x:c>
      <x:c r="I201" s="103" t="e">
        <x:f>IF(AND(132&lt;=$H$10,$H$12="計算可能"),$H$6,NA())</x:f>
        <x:v>#N/A</x:v>
      </x:c>
      <x:c r="J201" s="103" t="e">
        <x:f>IF(AND(132&lt;=$H$10,$H$12="計算可能"),$H$7,NA())</x:f>
        <x:v>#N/A</x:v>
      </x:c>
      <x:c r="K201" s="103" t="e">
        <x:f>IF(AND(132&lt;=$H$10,$H$12="計算可能"),$H$8,NA())</x:f>
        <x:v>#N/A</x:v>
      </x:c>
      <x:c r="L201" s="102" t="e">
        <x:f>IF(132&lt;=$H$10,132,NA())</x:f>
        <x:v>#N/A</x:v>
      </x:c>
      <x:c r="M201" s="103" t="e">
        <x:f>IF(AND(ISNUMBER(C149),$H$12="計算可能"),C149,NA())</x:f>
        <x:v>#N/A</x:v>
      </x:c>
      <x:c r="N201" s="103" t="e">
        <x:f>IF(AND(132&lt;=$H$10,$H$12="計算可能"),$L$6,NA())</x:f>
        <x:v>#N/A</x:v>
      </x:c>
      <x:c r="O201" s="103" t="e">
        <x:f>IF(AND(132&lt;=$H$10,$H$12="計算可能"),$L$7,NA())</x:f>
        <x:v>#N/A</x:v>
      </x:c>
      <x:c r="P201" s="103" t="e">
        <x:f>IF(AND(132&lt;=$H$10,$H$12="計算可能"),$L$8,NA())</x:f>
        <x:v>#N/A</x:v>
      </x:c>
      <x:c r="Q201" s="21"/>
    </x:row>
    <x:row r="202" ht="21" customHeight="1">
      <x:c r="A202" s="91" t="str">
        <x:f>IF(ISNUMBER(B202),185,"")</x:f>
      </x:c>
      <x:c r="B202" s="89"/>
      <x:c r="C202" s="70" t="str">
        <x:f>IF(AND(ISNUMBER(B201),ISNUMBER(B202)),ABS(B202-B201),"")</x:f>
      </x:c>
      <x:c r="D202" s="67" t="str">
        <x:f>IF(AND(ISNUMBER(B202),$H$12="計算可能"),IF(OR(B202&gt;$H$7,B202&lt;$H$8),"管理外",""),"")</x:f>
      </x:c>
      <x:c r="E202" s="67" t="str">
        <x:f>IF(AND(ISNUMBER(C202),$H$12="計算可能"),IF(OR(C202&gt;$L$7,C202&lt;$L$8),"管理外",""),"")</x:f>
      </x:c>
      <x:c r="F202" s="21"/>
      <x:c r="G202" s="102" t="e">
        <x:f>IF(133&lt;=$H$10,133,NA())</x:f>
        <x:v>#N/A</x:v>
      </x:c>
      <x:c r="H202" s="103" t="e">
        <x:f>IF(AND(ISNUMBER(B150),$H$12="計算可能"),B150,NA())</x:f>
        <x:v>#N/A</x:v>
      </x:c>
      <x:c r="I202" s="103" t="e">
        <x:f>IF(AND(133&lt;=$H$10,$H$12="計算可能"),$H$6,NA())</x:f>
        <x:v>#N/A</x:v>
      </x:c>
      <x:c r="J202" s="103" t="e">
        <x:f>IF(AND(133&lt;=$H$10,$H$12="計算可能"),$H$7,NA())</x:f>
        <x:v>#N/A</x:v>
      </x:c>
      <x:c r="K202" s="103" t="e">
        <x:f>IF(AND(133&lt;=$H$10,$H$12="計算可能"),$H$8,NA())</x:f>
        <x:v>#N/A</x:v>
      </x:c>
      <x:c r="L202" s="102" t="e">
        <x:f>IF(133&lt;=$H$10,133,NA())</x:f>
        <x:v>#N/A</x:v>
      </x:c>
      <x:c r="M202" s="103" t="e">
        <x:f>IF(AND(ISNUMBER(C150),$H$12="計算可能"),C150,NA())</x:f>
        <x:v>#N/A</x:v>
      </x:c>
      <x:c r="N202" s="103" t="e">
        <x:f>IF(AND(133&lt;=$H$10,$H$12="計算可能"),$L$6,NA())</x:f>
        <x:v>#N/A</x:v>
      </x:c>
      <x:c r="O202" s="103" t="e">
        <x:f>IF(AND(133&lt;=$H$10,$H$12="計算可能"),$L$7,NA())</x:f>
        <x:v>#N/A</x:v>
      </x:c>
      <x:c r="P202" s="103" t="e">
        <x:f>IF(AND(133&lt;=$H$10,$H$12="計算可能"),$L$8,NA())</x:f>
        <x:v>#N/A</x:v>
      </x:c>
      <x:c r="Q202" s="21"/>
    </x:row>
    <x:row r="203" ht="21" customHeight="1">
      <x:c r="A203" s="91" t="str">
        <x:f>IF(ISNUMBER(B203),186,"")</x:f>
      </x:c>
      <x:c r="B203" s="89"/>
      <x:c r="C203" s="70" t="str">
        <x:f>IF(AND(ISNUMBER(B202),ISNUMBER(B203)),ABS(B203-B202),"")</x:f>
      </x:c>
      <x:c r="D203" s="67" t="str">
        <x:f>IF(AND(ISNUMBER(B203),$H$12="計算可能"),IF(OR(B203&gt;$H$7,B203&lt;$H$8),"管理外",""),"")</x:f>
      </x:c>
      <x:c r="E203" s="67" t="str">
        <x:f>IF(AND(ISNUMBER(C203),$H$12="計算可能"),IF(OR(C203&gt;$L$7,C203&lt;$L$8),"管理外",""),"")</x:f>
      </x:c>
      <x:c r="F203" s="21"/>
      <x:c r="G203" s="102" t="e">
        <x:f>IF(134&lt;=$H$10,134,NA())</x:f>
        <x:v>#N/A</x:v>
      </x:c>
      <x:c r="H203" s="103" t="e">
        <x:f>IF(AND(ISNUMBER(B151),$H$12="計算可能"),B151,NA())</x:f>
        <x:v>#N/A</x:v>
      </x:c>
      <x:c r="I203" s="103" t="e">
        <x:f>IF(AND(134&lt;=$H$10,$H$12="計算可能"),$H$6,NA())</x:f>
        <x:v>#N/A</x:v>
      </x:c>
      <x:c r="J203" s="103" t="e">
        <x:f>IF(AND(134&lt;=$H$10,$H$12="計算可能"),$H$7,NA())</x:f>
        <x:v>#N/A</x:v>
      </x:c>
      <x:c r="K203" s="103" t="e">
        <x:f>IF(AND(134&lt;=$H$10,$H$12="計算可能"),$H$8,NA())</x:f>
        <x:v>#N/A</x:v>
      </x:c>
      <x:c r="L203" s="102" t="e">
        <x:f>IF(134&lt;=$H$10,134,NA())</x:f>
        <x:v>#N/A</x:v>
      </x:c>
      <x:c r="M203" s="103" t="e">
        <x:f>IF(AND(ISNUMBER(C151),$H$12="計算可能"),C151,NA())</x:f>
        <x:v>#N/A</x:v>
      </x:c>
      <x:c r="N203" s="103" t="e">
        <x:f>IF(AND(134&lt;=$H$10,$H$12="計算可能"),$L$6,NA())</x:f>
        <x:v>#N/A</x:v>
      </x:c>
      <x:c r="O203" s="103" t="e">
        <x:f>IF(AND(134&lt;=$H$10,$H$12="計算可能"),$L$7,NA())</x:f>
        <x:v>#N/A</x:v>
      </x:c>
      <x:c r="P203" s="103" t="e">
        <x:f>IF(AND(134&lt;=$H$10,$H$12="計算可能"),$L$8,NA())</x:f>
        <x:v>#N/A</x:v>
      </x:c>
      <x:c r="Q203" s="21"/>
    </x:row>
    <x:row r="204" ht="21" customHeight="1">
      <x:c r="A204" s="91" t="str">
        <x:f>IF(ISNUMBER(B204),187,"")</x:f>
      </x:c>
      <x:c r="B204" s="89"/>
      <x:c r="C204" s="70" t="str">
        <x:f>IF(AND(ISNUMBER(B203),ISNUMBER(B204)),ABS(B204-B203),"")</x:f>
      </x:c>
      <x:c r="D204" s="67" t="str">
        <x:f>IF(AND(ISNUMBER(B204),$H$12="計算可能"),IF(OR(B204&gt;$H$7,B204&lt;$H$8),"管理外",""),"")</x:f>
      </x:c>
      <x:c r="E204" s="67" t="str">
        <x:f>IF(AND(ISNUMBER(C204),$H$12="計算可能"),IF(OR(C204&gt;$L$7,C204&lt;$L$8),"管理外",""),"")</x:f>
      </x:c>
      <x:c r="F204" s="21"/>
      <x:c r="G204" s="102" t="e">
        <x:f>IF(135&lt;=$H$10,135,NA())</x:f>
        <x:v>#N/A</x:v>
      </x:c>
      <x:c r="H204" s="103" t="e">
        <x:f>IF(AND(ISNUMBER(B152),$H$12="計算可能"),B152,NA())</x:f>
        <x:v>#N/A</x:v>
      </x:c>
      <x:c r="I204" s="103" t="e">
        <x:f>IF(AND(135&lt;=$H$10,$H$12="計算可能"),$H$6,NA())</x:f>
        <x:v>#N/A</x:v>
      </x:c>
      <x:c r="J204" s="103" t="e">
        <x:f>IF(AND(135&lt;=$H$10,$H$12="計算可能"),$H$7,NA())</x:f>
        <x:v>#N/A</x:v>
      </x:c>
      <x:c r="K204" s="103" t="e">
        <x:f>IF(AND(135&lt;=$H$10,$H$12="計算可能"),$H$8,NA())</x:f>
        <x:v>#N/A</x:v>
      </x:c>
      <x:c r="L204" s="102" t="e">
        <x:f>IF(135&lt;=$H$10,135,NA())</x:f>
        <x:v>#N/A</x:v>
      </x:c>
      <x:c r="M204" s="103" t="e">
        <x:f>IF(AND(ISNUMBER(C152),$H$12="計算可能"),C152,NA())</x:f>
        <x:v>#N/A</x:v>
      </x:c>
      <x:c r="N204" s="103" t="e">
        <x:f>IF(AND(135&lt;=$H$10,$H$12="計算可能"),$L$6,NA())</x:f>
        <x:v>#N/A</x:v>
      </x:c>
      <x:c r="O204" s="103" t="e">
        <x:f>IF(AND(135&lt;=$H$10,$H$12="計算可能"),$L$7,NA())</x:f>
        <x:v>#N/A</x:v>
      </x:c>
      <x:c r="P204" s="103" t="e">
        <x:f>IF(AND(135&lt;=$H$10,$H$12="計算可能"),$L$8,NA())</x:f>
        <x:v>#N/A</x:v>
      </x:c>
      <x:c r="Q204" s="21"/>
    </x:row>
    <x:row r="205" ht="21" customHeight="1">
      <x:c r="A205" s="91" t="str">
        <x:f>IF(ISNUMBER(B205),188,"")</x:f>
      </x:c>
      <x:c r="B205" s="89"/>
      <x:c r="C205" s="70" t="str">
        <x:f>IF(AND(ISNUMBER(B204),ISNUMBER(B205)),ABS(B205-B204),"")</x:f>
      </x:c>
      <x:c r="D205" s="67" t="str">
        <x:f>IF(AND(ISNUMBER(B205),$H$12="計算可能"),IF(OR(B205&gt;$H$7,B205&lt;$H$8),"管理外",""),"")</x:f>
      </x:c>
      <x:c r="E205" s="67" t="str">
        <x:f>IF(AND(ISNUMBER(C205),$H$12="計算可能"),IF(OR(C205&gt;$L$7,C205&lt;$L$8),"管理外",""),"")</x:f>
      </x:c>
      <x:c r="F205" s="21"/>
      <x:c r="G205" s="102" t="e">
        <x:f>IF(136&lt;=$H$10,136,NA())</x:f>
        <x:v>#N/A</x:v>
      </x:c>
      <x:c r="H205" s="103" t="e">
        <x:f>IF(AND(ISNUMBER(B153),$H$12="計算可能"),B153,NA())</x:f>
        <x:v>#N/A</x:v>
      </x:c>
      <x:c r="I205" s="103" t="e">
        <x:f>IF(AND(136&lt;=$H$10,$H$12="計算可能"),$H$6,NA())</x:f>
        <x:v>#N/A</x:v>
      </x:c>
      <x:c r="J205" s="103" t="e">
        <x:f>IF(AND(136&lt;=$H$10,$H$12="計算可能"),$H$7,NA())</x:f>
        <x:v>#N/A</x:v>
      </x:c>
      <x:c r="K205" s="103" t="e">
        <x:f>IF(AND(136&lt;=$H$10,$H$12="計算可能"),$H$8,NA())</x:f>
        <x:v>#N/A</x:v>
      </x:c>
      <x:c r="L205" s="102" t="e">
        <x:f>IF(136&lt;=$H$10,136,NA())</x:f>
        <x:v>#N/A</x:v>
      </x:c>
      <x:c r="M205" s="103" t="e">
        <x:f>IF(AND(ISNUMBER(C153),$H$12="計算可能"),C153,NA())</x:f>
        <x:v>#N/A</x:v>
      </x:c>
      <x:c r="N205" s="103" t="e">
        <x:f>IF(AND(136&lt;=$H$10,$H$12="計算可能"),$L$6,NA())</x:f>
        <x:v>#N/A</x:v>
      </x:c>
      <x:c r="O205" s="103" t="e">
        <x:f>IF(AND(136&lt;=$H$10,$H$12="計算可能"),$L$7,NA())</x:f>
        <x:v>#N/A</x:v>
      </x:c>
      <x:c r="P205" s="103" t="e">
        <x:f>IF(AND(136&lt;=$H$10,$H$12="計算可能"),$L$8,NA())</x:f>
        <x:v>#N/A</x:v>
      </x:c>
      <x:c r="Q205" s="21"/>
    </x:row>
    <x:row r="206" ht="21" customHeight="1">
      <x:c r="A206" s="91" t="str">
        <x:f>IF(ISNUMBER(B206),189,"")</x:f>
      </x:c>
      <x:c r="B206" s="89"/>
      <x:c r="C206" s="70" t="str">
        <x:f>IF(AND(ISNUMBER(B205),ISNUMBER(B206)),ABS(B206-B205),"")</x:f>
      </x:c>
      <x:c r="D206" s="67" t="str">
        <x:f>IF(AND(ISNUMBER(B206),$H$12="計算可能"),IF(OR(B206&gt;$H$7,B206&lt;$H$8),"管理外",""),"")</x:f>
      </x:c>
      <x:c r="E206" s="67" t="str">
        <x:f>IF(AND(ISNUMBER(C206),$H$12="計算可能"),IF(OR(C206&gt;$L$7,C206&lt;$L$8),"管理外",""),"")</x:f>
      </x:c>
      <x:c r="F206" s="21"/>
      <x:c r="G206" s="102" t="e">
        <x:f>IF(137&lt;=$H$10,137,NA())</x:f>
        <x:v>#N/A</x:v>
      </x:c>
      <x:c r="H206" s="103" t="e">
        <x:f>IF(AND(ISNUMBER(B154),$H$12="計算可能"),B154,NA())</x:f>
        <x:v>#N/A</x:v>
      </x:c>
      <x:c r="I206" s="103" t="e">
        <x:f>IF(AND(137&lt;=$H$10,$H$12="計算可能"),$H$6,NA())</x:f>
        <x:v>#N/A</x:v>
      </x:c>
      <x:c r="J206" s="103" t="e">
        <x:f>IF(AND(137&lt;=$H$10,$H$12="計算可能"),$H$7,NA())</x:f>
        <x:v>#N/A</x:v>
      </x:c>
      <x:c r="K206" s="103" t="e">
        <x:f>IF(AND(137&lt;=$H$10,$H$12="計算可能"),$H$8,NA())</x:f>
        <x:v>#N/A</x:v>
      </x:c>
      <x:c r="L206" s="102" t="e">
        <x:f>IF(137&lt;=$H$10,137,NA())</x:f>
        <x:v>#N/A</x:v>
      </x:c>
      <x:c r="M206" s="103" t="e">
        <x:f>IF(AND(ISNUMBER(C154),$H$12="計算可能"),C154,NA())</x:f>
        <x:v>#N/A</x:v>
      </x:c>
      <x:c r="N206" s="103" t="e">
        <x:f>IF(AND(137&lt;=$H$10,$H$12="計算可能"),$L$6,NA())</x:f>
        <x:v>#N/A</x:v>
      </x:c>
      <x:c r="O206" s="103" t="e">
        <x:f>IF(AND(137&lt;=$H$10,$H$12="計算可能"),$L$7,NA())</x:f>
        <x:v>#N/A</x:v>
      </x:c>
      <x:c r="P206" s="103" t="e">
        <x:f>IF(AND(137&lt;=$H$10,$H$12="計算可能"),$L$8,NA())</x:f>
        <x:v>#N/A</x:v>
      </x:c>
      <x:c r="Q206" s="21"/>
    </x:row>
    <x:row r="207" ht="21" customHeight="1">
      <x:c r="A207" s="91" t="str">
        <x:f>IF(ISNUMBER(B207),190,"")</x:f>
      </x:c>
      <x:c r="B207" s="89"/>
      <x:c r="C207" s="70" t="str">
        <x:f>IF(AND(ISNUMBER(B206),ISNUMBER(B207)),ABS(B207-B206),"")</x:f>
      </x:c>
      <x:c r="D207" s="67" t="str">
        <x:f>IF(AND(ISNUMBER(B207),$H$12="計算可能"),IF(OR(B207&gt;$H$7,B207&lt;$H$8),"管理外",""),"")</x:f>
      </x:c>
      <x:c r="E207" s="67" t="str">
        <x:f>IF(AND(ISNUMBER(C207),$H$12="計算可能"),IF(OR(C207&gt;$L$7,C207&lt;$L$8),"管理外",""),"")</x:f>
      </x:c>
      <x:c r="F207" s="21"/>
      <x:c r="G207" s="102" t="e">
        <x:f>IF(138&lt;=$H$10,138,NA())</x:f>
        <x:v>#N/A</x:v>
      </x:c>
      <x:c r="H207" s="103" t="e">
        <x:f>IF(AND(ISNUMBER(B155),$H$12="計算可能"),B155,NA())</x:f>
        <x:v>#N/A</x:v>
      </x:c>
      <x:c r="I207" s="103" t="e">
        <x:f>IF(AND(138&lt;=$H$10,$H$12="計算可能"),$H$6,NA())</x:f>
        <x:v>#N/A</x:v>
      </x:c>
      <x:c r="J207" s="103" t="e">
        <x:f>IF(AND(138&lt;=$H$10,$H$12="計算可能"),$H$7,NA())</x:f>
        <x:v>#N/A</x:v>
      </x:c>
      <x:c r="K207" s="103" t="e">
        <x:f>IF(AND(138&lt;=$H$10,$H$12="計算可能"),$H$8,NA())</x:f>
        <x:v>#N/A</x:v>
      </x:c>
      <x:c r="L207" s="102" t="e">
        <x:f>IF(138&lt;=$H$10,138,NA())</x:f>
        <x:v>#N/A</x:v>
      </x:c>
      <x:c r="M207" s="103" t="e">
        <x:f>IF(AND(ISNUMBER(C155),$H$12="計算可能"),C155,NA())</x:f>
        <x:v>#N/A</x:v>
      </x:c>
      <x:c r="N207" s="103" t="e">
        <x:f>IF(AND(138&lt;=$H$10,$H$12="計算可能"),$L$6,NA())</x:f>
        <x:v>#N/A</x:v>
      </x:c>
      <x:c r="O207" s="103" t="e">
        <x:f>IF(AND(138&lt;=$H$10,$H$12="計算可能"),$L$7,NA())</x:f>
        <x:v>#N/A</x:v>
      </x:c>
      <x:c r="P207" s="103" t="e">
        <x:f>IF(AND(138&lt;=$H$10,$H$12="計算可能"),$L$8,NA())</x:f>
        <x:v>#N/A</x:v>
      </x:c>
      <x:c r="Q207" s="21"/>
    </x:row>
    <x:row r="208" ht="21" customHeight="1">
      <x:c r="A208" s="91" t="str">
        <x:f>IF(ISNUMBER(B208),191,"")</x:f>
      </x:c>
      <x:c r="B208" s="89"/>
      <x:c r="C208" s="70" t="str">
        <x:f>IF(AND(ISNUMBER(B207),ISNUMBER(B208)),ABS(B208-B207),"")</x:f>
      </x:c>
      <x:c r="D208" s="67" t="str">
        <x:f>IF(AND(ISNUMBER(B208),$H$12="計算可能"),IF(OR(B208&gt;$H$7,B208&lt;$H$8),"管理外",""),"")</x:f>
      </x:c>
      <x:c r="E208" s="67" t="str">
        <x:f>IF(AND(ISNUMBER(C208),$H$12="計算可能"),IF(OR(C208&gt;$L$7,C208&lt;$L$8),"管理外",""),"")</x:f>
      </x:c>
      <x:c r="F208" s="21"/>
      <x:c r="G208" s="102" t="e">
        <x:f>IF(139&lt;=$H$10,139,NA())</x:f>
        <x:v>#N/A</x:v>
      </x:c>
      <x:c r="H208" s="103" t="e">
        <x:f>IF(AND(ISNUMBER(B156),$H$12="計算可能"),B156,NA())</x:f>
        <x:v>#N/A</x:v>
      </x:c>
      <x:c r="I208" s="103" t="e">
        <x:f>IF(AND(139&lt;=$H$10,$H$12="計算可能"),$H$6,NA())</x:f>
        <x:v>#N/A</x:v>
      </x:c>
      <x:c r="J208" s="103" t="e">
        <x:f>IF(AND(139&lt;=$H$10,$H$12="計算可能"),$H$7,NA())</x:f>
        <x:v>#N/A</x:v>
      </x:c>
      <x:c r="K208" s="103" t="e">
        <x:f>IF(AND(139&lt;=$H$10,$H$12="計算可能"),$H$8,NA())</x:f>
        <x:v>#N/A</x:v>
      </x:c>
      <x:c r="L208" s="102" t="e">
        <x:f>IF(139&lt;=$H$10,139,NA())</x:f>
        <x:v>#N/A</x:v>
      </x:c>
      <x:c r="M208" s="103" t="e">
        <x:f>IF(AND(ISNUMBER(C156),$H$12="計算可能"),C156,NA())</x:f>
        <x:v>#N/A</x:v>
      </x:c>
      <x:c r="N208" s="103" t="e">
        <x:f>IF(AND(139&lt;=$H$10,$H$12="計算可能"),$L$6,NA())</x:f>
        <x:v>#N/A</x:v>
      </x:c>
      <x:c r="O208" s="103" t="e">
        <x:f>IF(AND(139&lt;=$H$10,$H$12="計算可能"),$L$7,NA())</x:f>
        <x:v>#N/A</x:v>
      </x:c>
      <x:c r="P208" s="103" t="e">
        <x:f>IF(AND(139&lt;=$H$10,$H$12="計算可能"),$L$8,NA())</x:f>
        <x:v>#N/A</x:v>
      </x:c>
      <x:c r="Q208" s="21"/>
    </x:row>
    <x:row r="209" ht="21" customHeight="1">
      <x:c r="A209" s="91" t="str">
        <x:f>IF(ISNUMBER(B209),192,"")</x:f>
      </x:c>
      <x:c r="B209" s="89"/>
      <x:c r="C209" s="70" t="str">
        <x:f>IF(AND(ISNUMBER(B208),ISNUMBER(B209)),ABS(B209-B208),"")</x:f>
      </x:c>
      <x:c r="D209" s="67" t="str">
        <x:f>IF(AND(ISNUMBER(B209),$H$12="計算可能"),IF(OR(B209&gt;$H$7,B209&lt;$H$8),"管理外",""),"")</x:f>
      </x:c>
      <x:c r="E209" s="67" t="str">
        <x:f>IF(AND(ISNUMBER(C209),$H$12="計算可能"),IF(OR(C209&gt;$L$7,C209&lt;$L$8),"管理外",""),"")</x:f>
      </x:c>
      <x:c r="F209" s="21"/>
      <x:c r="G209" s="102" t="e">
        <x:f>IF(140&lt;=$H$10,140,NA())</x:f>
        <x:v>#N/A</x:v>
      </x:c>
      <x:c r="H209" s="103" t="e">
        <x:f>IF(AND(ISNUMBER(B157),$H$12="計算可能"),B157,NA())</x:f>
        <x:v>#N/A</x:v>
      </x:c>
      <x:c r="I209" s="103" t="e">
        <x:f>IF(AND(140&lt;=$H$10,$H$12="計算可能"),$H$6,NA())</x:f>
        <x:v>#N/A</x:v>
      </x:c>
      <x:c r="J209" s="103" t="e">
        <x:f>IF(AND(140&lt;=$H$10,$H$12="計算可能"),$H$7,NA())</x:f>
        <x:v>#N/A</x:v>
      </x:c>
      <x:c r="K209" s="103" t="e">
        <x:f>IF(AND(140&lt;=$H$10,$H$12="計算可能"),$H$8,NA())</x:f>
        <x:v>#N/A</x:v>
      </x:c>
      <x:c r="L209" s="102" t="e">
        <x:f>IF(140&lt;=$H$10,140,NA())</x:f>
        <x:v>#N/A</x:v>
      </x:c>
      <x:c r="M209" s="103" t="e">
        <x:f>IF(AND(ISNUMBER(C157),$H$12="計算可能"),C157,NA())</x:f>
        <x:v>#N/A</x:v>
      </x:c>
      <x:c r="N209" s="103" t="e">
        <x:f>IF(AND(140&lt;=$H$10,$H$12="計算可能"),$L$6,NA())</x:f>
        <x:v>#N/A</x:v>
      </x:c>
      <x:c r="O209" s="103" t="e">
        <x:f>IF(AND(140&lt;=$H$10,$H$12="計算可能"),$L$7,NA())</x:f>
        <x:v>#N/A</x:v>
      </x:c>
      <x:c r="P209" s="103" t="e">
        <x:f>IF(AND(140&lt;=$H$10,$H$12="計算可能"),$L$8,NA())</x:f>
        <x:v>#N/A</x:v>
      </x:c>
      <x:c r="Q209" s="21"/>
    </x:row>
    <x:row r="210" ht="21" customHeight="1">
      <x:c r="A210" s="91" t="str">
        <x:f>IF(ISNUMBER(B210),193,"")</x:f>
      </x:c>
      <x:c r="B210" s="89"/>
      <x:c r="C210" s="70" t="str">
        <x:f>IF(AND(ISNUMBER(B209),ISNUMBER(B210)),ABS(B210-B209),"")</x:f>
      </x:c>
      <x:c r="D210" s="67" t="str">
        <x:f>IF(AND(ISNUMBER(B210),$H$12="計算可能"),IF(OR(B210&gt;$H$7,B210&lt;$H$8),"管理外",""),"")</x:f>
      </x:c>
      <x:c r="E210" s="67" t="str">
        <x:f>IF(AND(ISNUMBER(C210),$H$12="計算可能"),IF(OR(C210&gt;$L$7,C210&lt;$L$8),"管理外",""),"")</x:f>
      </x:c>
      <x:c r="F210" s="21"/>
      <x:c r="G210" s="102" t="e">
        <x:f>IF(141&lt;=$H$10,141,NA())</x:f>
        <x:v>#N/A</x:v>
      </x:c>
      <x:c r="H210" s="103" t="e">
        <x:f>IF(AND(ISNUMBER(B158),$H$12="計算可能"),B158,NA())</x:f>
        <x:v>#N/A</x:v>
      </x:c>
      <x:c r="I210" s="103" t="e">
        <x:f>IF(AND(141&lt;=$H$10,$H$12="計算可能"),$H$6,NA())</x:f>
        <x:v>#N/A</x:v>
      </x:c>
      <x:c r="J210" s="103" t="e">
        <x:f>IF(AND(141&lt;=$H$10,$H$12="計算可能"),$H$7,NA())</x:f>
        <x:v>#N/A</x:v>
      </x:c>
      <x:c r="K210" s="103" t="e">
        <x:f>IF(AND(141&lt;=$H$10,$H$12="計算可能"),$H$8,NA())</x:f>
        <x:v>#N/A</x:v>
      </x:c>
      <x:c r="L210" s="102" t="e">
        <x:f>IF(141&lt;=$H$10,141,NA())</x:f>
        <x:v>#N/A</x:v>
      </x:c>
      <x:c r="M210" s="103" t="e">
        <x:f>IF(AND(ISNUMBER(C158),$H$12="計算可能"),C158,NA())</x:f>
        <x:v>#N/A</x:v>
      </x:c>
      <x:c r="N210" s="103" t="e">
        <x:f>IF(AND(141&lt;=$H$10,$H$12="計算可能"),$L$6,NA())</x:f>
        <x:v>#N/A</x:v>
      </x:c>
      <x:c r="O210" s="103" t="e">
        <x:f>IF(AND(141&lt;=$H$10,$H$12="計算可能"),$L$7,NA())</x:f>
        <x:v>#N/A</x:v>
      </x:c>
      <x:c r="P210" s="103" t="e">
        <x:f>IF(AND(141&lt;=$H$10,$H$12="計算可能"),$L$8,NA())</x:f>
        <x:v>#N/A</x:v>
      </x:c>
      <x:c r="Q210" s="21"/>
    </x:row>
    <x:row r="211" ht="21" customHeight="1">
      <x:c r="A211" s="91" t="str">
        <x:f>IF(ISNUMBER(B211),194,"")</x:f>
      </x:c>
      <x:c r="B211" s="89"/>
      <x:c r="C211" s="70" t="str">
        <x:f>IF(AND(ISNUMBER(B210),ISNUMBER(B211)),ABS(B211-B210),"")</x:f>
      </x:c>
      <x:c r="D211" s="67" t="str">
        <x:f>IF(AND(ISNUMBER(B211),$H$12="計算可能"),IF(OR(B211&gt;$H$7,B211&lt;$H$8),"管理外",""),"")</x:f>
      </x:c>
      <x:c r="E211" s="67" t="str">
        <x:f>IF(AND(ISNUMBER(C211),$H$12="計算可能"),IF(OR(C211&gt;$L$7,C211&lt;$L$8),"管理外",""),"")</x:f>
      </x:c>
      <x:c r="F211" s="21"/>
      <x:c r="G211" s="102" t="e">
        <x:f>IF(142&lt;=$H$10,142,NA())</x:f>
        <x:v>#N/A</x:v>
      </x:c>
      <x:c r="H211" s="103" t="e">
        <x:f>IF(AND(ISNUMBER(B159),$H$12="計算可能"),B159,NA())</x:f>
        <x:v>#N/A</x:v>
      </x:c>
      <x:c r="I211" s="103" t="e">
        <x:f>IF(AND(142&lt;=$H$10,$H$12="計算可能"),$H$6,NA())</x:f>
        <x:v>#N/A</x:v>
      </x:c>
      <x:c r="J211" s="103" t="e">
        <x:f>IF(AND(142&lt;=$H$10,$H$12="計算可能"),$H$7,NA())</x:f>
        <x:v>#N/A</x:v>
      </x:c>
      <x:c r="K211" s="103" t="e">
        <x:f>IF(AND(142&lt;=$H$10,$H$12="計算可能"),$H$8,NA())</x:f>
        <x:v>#N/A</x:v>
      </x:c>
      <x:c r="L211" s="102" t="e">
        <x:f>IF(142&lt;=$H$10,142,NA())</x:f>
        <x:v>#N/A</x:v>
      </x:c>
      <x:c r="M211" s="103" t="e">
        <x:f>IF(AND(ISNUMBER(C159),$H$12="計算可能"),C159,NA())</x:f>
        <x:v>#N/A</x:v>
      </x:c>
      <x:c r="N211" s="103" t="e">
        <x:f>IF(AND(142&lt;=$H$10,$H$12="計算可能"),$L$6,NA())</x:f>
        <x:v>#N/A</x:v>
      </x:c>
      <x:c r="O211" s="103" t="e">
        <x:f>IF(AND(142&lt;=$H$10,$H$12="計算可能"),$L$7,NA())</x:f>
        <x:v>#N/A</x:v>
      </x:c>
      <x:c r="P211" s="103" t="e">
        <x:f>IF(AND(142&lt;=$H$10,$H$12="計算可能"),$L$8,NA())</x:f>
        <x:v>#N/A</x:v>
      </x:c>
      <x:c r="Q211" s="21"/>
    </x:row>
    <x:row r="212" ht="21" customHeight="1">
      <x:c r="A212" s="91" t="str">
        <x:f>IF(ISNUMBER(B212),195,"")</x:f>
      </x:c>
      <x:c r="B212" s="89"/>
      <x:c r="C212" s="70" t="str">
        <x:f>IF(AND(ISNUMBER(B211),ISNUMBER(B212)),ABS(B212-B211),"")</x:f>
      </x:c>
      <x:c r="D212" s="67" t="str">
        <x:f>IF(AND(ISNUMBER(B212),$H$12="計算可能"),IF(OR(B212&gt;$H$7,B212&lt;$H$8),"管理外",""),"")</x:f>
      </x:c>
      <x:c r="E212" s="67" t="str">
        <x:f>IF(AND(ISNUMBER(C212),$H$12="計算可能"),IF(OR(C212&gt;$L$7,C212&lt;$L$8),"管理外",""),"")</x:f>
      </x:c>
      <x:c r="F212" s="21"/>
      <x:c r="G212" s="102" t="e">
        <x:f>IF(143&lt;=$H$10,143,NA())</x:f>
        <x:v>#N/A</x:v>
      </x:c>
      <x:c r="H212" s="103" t="e">
        <x:f>IF(AND(ISNUMBER(B160),$H$12="計算可能"),B160,NA())</x:f>
        <x:v>#N/A</x:v>
      </x:c>
      <x:c r="I212" s="103" t="e">
        <x:f>IF(AND(143&lt;=$H$10,$H$12="計算可能"),$H$6,NA())</x:f>
        <x:v>#N/A</x:v>
      </x:c>
      <x:c r="J212" s="103" t="e">
        <x:f>IF(AND(143&lt;=$H$10,$H$12="計算可能"),$H$7,NA())</x:f>
        <x:v>#N/A</x:v>
      </x:c>
      <x:c r="K212" s="103" t="e">
        <x:f>IF(AND(143&lt;=$H$10,$H$12="計算可能"),$H$8,NA())</x:f>
        <x:v>#N/A</x:v>
      </x:c>
      <x:c r="L212" s="102" t="e">
        <x:f>IF(143&lt;=$H$10,143,NA())</x:f>
        <x:v>#N/A</x:v>
      </x:c>
      <x:c r="M212" s="103" t="e">
        <x:f>IF(AND(ISNUMBER(C160),$H$12="計算可能"),C160,NA())</x:f>
        <x:v>#N/A</x:v>
      </x:c>
      <x:c r="N212" s="103" t="e">
        <x:f>IF(AND(143&lt;=$H$10,$H$12="計算可能"),$L$6,NA())</x:f>
        <x:v>#N/A</x:v>
      </x:c>
      <x:c r="O212" s="103" t="e">
        <x:f>IF(AND(143&lt;=$H$10,$H$12="計算可能"),$L$7,NA())</x:f>
        <x:v>#N/A</x:v>
      </x:c>
      <x:c r="P212" s="103" t="e">
        <x:f>IF(AND(143&lt;=$H$10,$H$12="計算可能"),$L$8,NA())</x:f>
        <x:v>#N/A</x:v>
      </x:c>
      <x:c r="Q212" s="21"/>
    </x:row>
    <x:row r="213" ht="21" customHeight="1">
      <x:c r="A213" s="91" t="str">
        <x:f>IF(ISNUMBER(B213),196,"")</x:f>
      </x:c>
      <x:c r="B213" s="89"/>
      <x:c r="C213" s="70" t="str">
        <x:f>IF(AND(ISNUMBER(B212),ISNUMBER(B213)),ABS(B213-B212),"")</x:f>
      </x:c>
      <x:c r="D213" s="67" t="str">
        <x:f>IF(AND(ISNUMBER(B213),$H$12="計算可能"),IF(OR(B213&gt;$H$7,B213&lt;$H$8),"管理外",""),"")</x:f>
      </x:c>
      <x:c r="E213" s="67" t="str">
        <x:f>IF(AND(ISNUMBER(C213),$H$12="計算可能"),IF(OR(C213&gt;$L$7,C213&lt;$L$8),"管理外",""),"")</x:f>
      </x:c>
      <x:c r="F213" s="21"/>
      <x:c r="G213" s="102" t="e">
        <x:f>IF(144&lt;=$H$10,144,NA())</x:f>
        <x:v>#N/A</x:v>
      </x:c>
      <x:c r="H213" s="103" t="e">
        <x:f>IF(AND(ISNUMBER(B161),$H$12="計算可能"),B161,NA())</x:f>
        <x:v>#N/A</x:v>
      </x:c>
      <x:c r="I213" s="103" t="e">
        <x:f>IF(AND(144&lt;=$H$10,$H$12="計算可能"),$H$6,NA())</x:f>
        <x:v>#N/A</x:v>
      </x:c>
      <x:c r="J213" s="103" t="e">
        <x:f>IF(AND(144&lt;=$H$10,$H$12="計算可能"),$H$7,NA())</x:f>
        <x:v>#N/A</x:v>
      </x:c>
      <x:c r="K213" s="103" t="e">
        <x:f>IF(AND(144&lt;=$H$10,$H$12="計算可能"),$H$8,NA())</x:f>
        <x:v>#N/A</x:v>
      </x:c>
      <x:c r="L213" s="102" t="e">
        <x:f>IF(144&lt;=$H$10,144,NA())</x:f>
        <x:v>#N/A</x:v>
      </x:c>
      <x:c r="M213" s="103" t="e">
        <x:f>IF(AND(ISNUMBER(C161),$H$12="計算可能"),C161,NA())</x:f>
        <x:v>#N/A</x:v>
      </x:c>
      <x:c r="N213" s="103" t="e">
        <x:f>IF(AND(144&lt;=$H$10,$H$12="計算可能"),$L$6,NA())</x:f>
        <x:v>#N/A</x:v>
      </x:c>
      <x:c r="O213" s="103" t="e">
        <x:f>IF(AND(144&lt;=$H$10,$H$12="計算可能"),$L$7,NA())</x:f>
        <x:v>#N/A</x:v>
      </x:c>
      <x:c r="P213" s="103" t="e">
        <x:f>IF(AND(144&lt;=$H$10,$H$12="計算可能"),$L$8,NA())</x:f>
        <x:v>#N/A</x:v>
      </x:c>
      <x:c r="Q213" s="21"/>
    </x:row>
    <x:row r="214" ht="21" customHeight="1">
      <x:c r="A214" s="91" t="str">
        <x:f>IF(ISNUMBER(B214),197,"")</x:f>
      </x:c>
      <x:c r="B214" s="89"/>
      <x:c r="C214" s="70" t="str">
        <x:f>IF(AND(ISNUMBER(B213),ISNUMBER(B214)),ABS(B214-B213),"")</x:f>
      </x:c>
      <x:c r="D214" s="67" t="str">
        <x:f>IF(AND(ISNUMBER(B214),$H$12="計算可能"),IF(OR(B214&gt;$H$7,B214&lt;$H$8),"管理外",""),"")</x:f>
      </x:c>
      <x:c r="E214" s="67" t="str">
        <x:f>IF(AND(ISNUMBER(C214),$H$12="計算可能"),IF(OR(C214&gt;$L$7,C214&lt;$L$8),"管理外",""),"")</x:f>
      </x:c>
      <x:c r="F214" s="21"/>
      <x:c r="G214" s="102" t="e">
        <x:f>IF(145&lt;=$H$10,145,NA())</x:f>
        <x:v>#N/A</x:v>
      </x:c>
      <x:c r="H214" s="103" t="e">
        <x:f>IF(AND(ISNUMBER(B162),$H$12="計算可能"),B162,NA())</x:f>
        <x:v>#N/A</x:v>
      </x:c>
      <x:c r="I214" s="103" t="e">
        <x:f>IF(AND(145&lt;=$H$10,$H$12="計算可能"),$H$6,NA())</x:f>
        <x:v>#N/A</x:v>
      </x:c>
      <x:c r="J214" s="103" t="e">
        <x:f>IF(AND(145&lt;=$H$10,$H$12="計算可能"),$H$7,NA())</x:f>
        <x:v>#N/A</x:v>
      </x:c>
      <x:c r="K214" s="103" t="e">
        <x:f>IF(AND(145&lt;=$H$10,$H$12="計算可能"),$H$8,NA())</x:f>
        <x:v>#N/A</x:v>
      </x:c>
      <x:c r="L214" s="102" t="e">
        <x:f>IF(145&lt;=$H$10,145,NA())</x:f>
        <x:v>#N/A</x:v>
      </x:c>
      <x:c r="M214" s="103" t="e">
        <x:f>IF(AND(ISNUMBER(C162),$H$12="計算可能"),C162,NA())</x:f>
        <x:v>#N/A</x:v>
      </x:c>
      <x:c r="N214" s="103" t="e">
        <x:f>IF(AND(145&lt;=$H$10,$H$12="計算可能"),$L$6,NA())</x:f>
        <x:v>#N/A</x:v>
      </x:c>
      <x:c r="O214" s="103" t="e">
        <x:f>IF(AND(145&lt;=$H$10,$H$12="計算可能"),$L$7,NA())</x:f>
        <x:v>#N/A</x:v>
      </x:c>
      <x:c r="P214" s="103" t="e">
        <x:f>IF(AND(145&lt;=$H$10,$H$12="計算可能"),$L$8,NA())</x:f>
        <x:v>#N/A</x:v>
      </x:c>
      <x:c r="Q214" s="21"/>
    </x:row>
    <x:row r="215" ht="21" customHeight="1">
      <x:c r="A215" s="91" t="str">
        <x:f>IF(ISNUMBER(B215),198,"")</x:f>
      </x:c>
      <x:c r="B215" s="89"/>
      <x:c r="C215" s="70" t="str">
        <x:f>IF(AND(ISNUMBER(B214),ISNUMBER(B215)),ABS(B215-B214),"")</x:f>
      </x:c>
      <x:c r="D215" s="67" t="str">
        <x:f>IF(AND(ISNUMBER(B215),$H$12="計算可能"),IF(OR(B215&gt;$H$7,B215&lt;$H$8),"管理外",""),"")</x:f>
      </x:c>
      <x:c r="E215" s="67" t="str">
        <x:f>IF(AND(ISNUMBER(C215),$H$12="計算可能"),IF(OR(C215&gt;$L$7,C215&lt;$L$8),"管理外",""),"")</x:f>
      </x:c>
      <x:c r="F215" s="21"/>
      <x:c r="G215" s="102" t="e">
        <x:f>IF(146&lt;=$H$10,146,NA())</x:f>
        <x:v>#N/A</x:v>
      </x:c>
      <x:c r="H215" s="103" t="e">
        <x:f>IF(AND(ISNUMBER(B163),$H$12="計算可能"),B163,NA())</x:f>
        <x:v>#N/A</x:v>
      </x:c>
      <x:c r="I215" s="103" t="e">
        <x:f>IF(AND(146&lt;=$H$10,$H$12="計算可能"),$H$6,NA())</x:f>
        <x:v>#N/A</x:v>
      </x:c>
      <x:c r="J215" s="103" t="e">
        <x:f>IF(AND(146&lt;=$H$10,$H$12="計算可能"),$H$7,NA())</x:f>
        <x:v>#N/A</x:v>
      </x:c>
      <x:c r="K215" s="103" t="e">
        <x:f>IF(AND(146&lt;=$H$10,$H$12="計算可能"),$H$8,NA())</x:f>
        <x:v>#N/A</x:v>
      </x:c>
      <x:c r="L215" s="102" t="e">
        <x:f>IF(146&lt;=$H$10,146,NA())</x:f>
        <x:v>#N/A</x:v>
      </x:c>
      <x:c r="M215" s="103" t="e">
        <x:f>IF(AND(ISNUMBER(C163),$H$12="計算可能"),C163,NA())</x:f>
        <x:v>#N/A</x:v>
      </x:c>
      <x:c r="N215" s="103" t="e">
        <x:f>IF(AND(146&lt;=$H$10,$H$12="計算可能"),$L$6,NA())</x:f>
        <x:v>#N/A</x:v>
      </x:c>
      <x:c r="O215" s="103" t="e">
        <x:f>IF(AND(146&lt;=$H$10,$H$12="計算可能"),$L$7,NA())</x:f>
        <x:v>#N/A</x:v>
      </x:c>
      <x:c r="P215" s="103" t="e">
        <x:f>IF(AND(146&lt;=$H$10,$H$12="計算可能"),$L$8,NA())</x:f>
        <x:v>#N/A</x:v>
      </x:c>
      <x:c r="Q215" s="21"/>
    </x:row>
    <x:row r="216" ht="21" customHeight="1">
      <x:c r="A216" s="91" t="str">
        <x:f>IF(ISNUMBER(B216),199,"")</x:f>
      </x:c>
      <x:c r="B216" s="89"/>
      <x:c r="C216" s="70" t="str">
        <x:f>IF(AND(ISNUMBER(B215),ISNUMBER(B216)),ABS(B216-B215),"")</x:f>
      </x:c>
      <x:c r="D216" s="67" t="str">
        <x:f>IF(AND(ISNUMBER(B216),$H$12="計算可能"),IF(OR(B216&gt;$H$7,B216&lt;$H$8),"管理外",""),"")</x:f>
      </x:c>
      <x:c r="E216" s="67" t="str">
        <x:f>IF(AND(ISNUMBER(C216),$H$12="計算可能"),IF(OR(C216&gt;$L$7,C216&lt;$L$8),"管理外",""),"")</x:f>
      </x:c>
      <x:c r="F216" s="21"/>
      <x:c r="G216" s="102" t="e">
        <x:f>IF(147&lt;=$H$10,147,NA())</x:f>
        <x:v>#N/A</x:v>
      </x:c>
      <x:c r="H216" s="103" t="e">
        <x:f>IF(AND(ISNUMBER(B164),$H$12="計算可能"),B164,NA())</x:f>
        <x:v>#N/A</x:v>
      </x:c>
      <x:c r="I216" s="103" t="e">
        <x:f>IF(AND(147&lt;=$H$10,$H$12="計算可能"),$H$6,NA())</x:f>
        <x:v>#N/A</x:v>
      </x:c>
      <x:c r="J216" s="103" t="e">
        <x:f>IF(AND(147&lt;=$H$10,$H$12="計算可能"),$H$7,NA())</x:f>
        <x:v>#N/A</x:v>
      </x:c>
      <x:c r="K216" s="103" t="e">
        <x:f>IF(AND(147&lt;=$H$10,$H$12="計算可能"),$H$8,NA())</x:f>
        <x:v>#N/A</x:v>
      </x:c>
      <x:c r="L216" s="102" t="e">
        <x:f>IF(147&lt;=$H$10,147,NA())</x:f>
        <x:v>#N/A</x:v>
      </x:c>
      <x:c r="M216" s="103" t="e">
        <x:f>IF(AND(ISNUMBER(C164),$H$12="計算可能"),C164,NA())</x:f>
        <x:v>#N/A</x:v>
      </x:c>
      <x:c r="N216" s="103" t="e">
        <x:f>IF(AND(147&lt;=$H$10,$H$12="計算可能"),$L$6,NA())</x:f>
        <x:v>#N/A</x:v>
      </x:c>
      <x:c r="O216" s="103" t="e">
        <x:f>IF(AND(147&lt;=$H$10,$H$12="計算可能"),$L$7,NA())</x:f>
        <x:v>#N/A</x:v>
      </x:c>
      <x:c r="P216" s="103" t="e">
        <x:f>IF(AND(147&lt;=$H$10,$H$12="計算可能"),$L$8,NA())</x:f>
        <x:v>#N/A</x:v>
      </x:c>
      <x:c r="Q216" s="21"/>
    </x:row>
    <x:row r="217" ht="21" customHeight="1">
      <x:c r="A217" s="91" t="str">
        <x:f>IF(ISNUMBER(B217),200,"")</x:f>
      </x:c>
      <x:c r="B217" s="89"/>
      <x:c r="C217" s="70" t="str">
        <x:f>IF(AND(ISNUMBER(B216),ISNUMBER(B217)),ABS(B217-B216),"")</x:f>
      </x:c>
      <x:c r="D217" s="67" t="str">
        <x:f>IF(AND(ISNUMBER(B217),$H$12="計算可能"),IF(OR(B217&gt;$H$7,B217&lt;$H$8),"管理外",""),"")</x:f>
      </x:c>
      <x:c r="E217" s="67" t="str">
        <x:f>IF(AND(ISNUMBER(C217),$H$12="計算可能"),IF(OR(C217&gt;$L$7,C217&lt;$L$8),"管理外",""),"")</x:f>
      </x:c>
      <x:c r="F217" s="21"/>
      <x:c r="G217" s="102" t="e">
        <x:f>IF(148&lt;=$H$10,148,NA())</x:f>
        <x:v>#N/A</x:v>
      </x:c>
      <x:c r="H217" s="103" t="e">
        <x:f>IF(AND(ISNUMBER(B165),$H$12="計算可能"),B165,NA())</x:f>
        <x:v>#N/A</x:v>
      </x:c>
      <x:c r="I217" s="103" t="e">
        <x:f>IF(AND(148&lt;=$H$10,$H$12="計算可能"),$H$6,NA())</x:f>
        <x:v>#N/A</x:v>
      </x:c>
      <x:c r="J217" s="103" t="e">
        <x:f>IF(AND(148&lt;=$H$10,$H$12="計算可能"),$H$7,NA())</x:f>
        <x:v>#N/A</x:v>
      </x:c>
      <x:c r="K217" s="103" t="e">
        <x:f>IF(AND(148&lt;=$H$10,$H$12="計算可能"),$H$8,NA())</x:f>
        <x:v>#N/A</x:v>
      </x:c>
      <x:c r="L217" s="102" t="e">
        <x:f>IF(148&lt;=$H$10,148,NA())</x:f>
        <x:v>#N/A</x:v>
      </x:c>
      <x:c r="M217" s="103" t="e">
        <x:f>IF(AND(ISNUMBER(C165),$H$12="計算可能"),C165,NA())</x:f>
        <x:v>#N/A</x:v>
      </x:c>
      <x:c r="N217" s="103" t="e">
        <x:f>IF(AND(148&lt;=$H$10,$H$12="計算可能"),$L$6,NA())</x:f>
        <x:v>#N/A</x:v>
      </x:c>
      <x:c r="O217" s="103" t="e">
        <x:f>IF(AND(148&lt;=$H$10,$H$12="計算可能"),$L$7,NA())</x:f>
        <x:v>#N/A</x:v>
      </x:c>
      <x:c r="P217" s="103" t="e">
        <x:f>IF(AND(148&lt;=$H$10,$H$12="計算可能"),$L$8,NA())</x:f>
        <x:v>#N/A</x:v>
      </x:c>
      <x:c r="Q217" s="21"/>
    </x:row>
    <x:row r="218" ht="21" customHeight="1">
      <x:c r="A218" s="21"/>
      <x:c r="B218" s="21"/>
      <x:c r="C218" s="21"/>
      <x:c r="D218" s="21"/>
      <x:c r="E218" s="21"/>
      <x:c r="F218" s="21"/>
      <x:c r="G218" s="102" t="e">
        <x:f>IF(149&lt;=$H$10,149,NA())</x:f>
        <x:v>#N/A</x:v>
      </x:c>
      <x:c r="H218" s="103" t="e">
        <x:f>IF(AND(ISNUMBER(B166),$H$12="計算可能"),B166,NA())</x:f>
        <x:v>#N/A</x:v>
      </x:c>
      <x:c r="I218" s="103" t="e">
        <x:f>IF(AND(149&lt;=$H$10,$H$12="計算可能"),$H$6,NA())</x:f>
        <x:v>#N/A</x:v>
      </x:c>
      <x:c r="J218" s="103" t="e">
        <x:f>IF(AND(149&lt;=$H$10,$H$12="計算可能"),$H$7,NA())</x:f>
        <x:v>#N/A</x:v>
      </x:c>
      <x:c r="K218" s="103" t="e">
        <x:f>IF(AND(149&lt;=$H$10,$H$12="計算可能"),$H$8,NA())</x:f>
        <x:v>#N/A</x:v>
      </x:c>
      <x:c r="L218" s="102" t="e">
        <x:f>IF(149&lt;=$H$10,149,NA())</x:f>
        <x:v>#N/A</x:v>
      </x:c>
      <x:c r="M218" s="103" t="e">
        <x:f>IF(AND(ISNUMBER(C166),$H$12="計算可能"),C166,NA())</x:f>
        <x:v>#N/A</x:v>
      </x:c>
      <x:c r="N218" s="103" t="e">
        <x:f>IF(AND(149&lt;=$H$10,$H$12="計算可能"),$L$6,NA())</x:f>
        <x:v>#N/A</x:v>
      </x:c>
      <x:c r="O218" s="103" t="e">
        <x:f>IF(AND(149&lt;=$H$10,$H$12="計算可能"),$L$7,NA())</x:f>
        <x:v>#N/A</x:v>
      </x:c>
      <x:c r="P218" s="103" t="e">
        <x:f>IF(AND(149&lt;=$H$10,$H$12="計算可能"),$L$8,NA())</x:f>
        <x:v>#N/A</x:v>
      </x:c>
      <x:c r="Q218" s="21"/>
    </x:row>
    <x:row r="219" ht="21" customHeight="1">
      <x:c r="A219" s="21"/>
      <x:c r="B219" s="21"/>
      <x:c r="C219" s="21"/>
      <x:c r="D219" s="21"/>
      <x:c r="E219" s="21"/>
      <x:c r="F219" s="21"/>
      <x:c r="G219" s="102" t="e">
        <x:f>IF(150&lt;=$H$10,150,NA())</x:f>
        <x:v>#N/A</x:v>
      </x:c>
      <x:c r="H219" s="103" t="e">
        <x:f>IF(AND(ISNUMBER(B167),$H$12="計算可能"),B167,NA())</x:f>
        <x:v>#N/A</x:v>
      </x:c>
      <x:c r="I219" s="103" t="e">
        <x:f>IF(AND(150&lt;=$H$10,$H$12="計算可能"),$H$6,NA())</x:f>
        <x:v>#N/A</x:v>
      </x:c>
      <x:c r="J219" s="103" t="e">
        <x:f>IF(AND(150&lt;=$H$10,$H$12="計算可能"),$H$7,NA())</x:f>
        <x:v>#N/A</x:v>
      </x:c>
      <x:c r="K219" s="103" t="e">
        <x:f>IF(AND(150&lt;=$H$10,$H$12="計算可能"),$H$8,NA())</x:f>
        <x:v>#N/A</x:v>
      </x:c>
      <x:c r="L219" s="102" t="e">
        <x:f>IF(150&lt;=$H$10,150,NA())</x:f>
        <x:v>#N/A</x:v>
      </x:c>
      <x:c r="M219" s="103" t="e">
        <x:f>IF(AND(ISNUMBER(C167),$H$12="計算可能"),C167,NA())</x:f>
        <x:v>#N/A</x:v>
      </x:c>
      <x:c r="N219" s="103" t="e">
        <x:f>IF(AND(150&lt;=$H$10,$H$12="計算可能"),$L$6,NA())</x:f>
        <x:v>#N/A</x:v>
      </x:c>
      <x:c r="O219" s="103" t="e">
        <x:f>IF(AND(150&lt;=$H$10,$H$12="計算可能"),$L$7,NA())</x:f>
        <x:v>#N/A</x:v>
      </x:c>
      <x:c r="P219" s="103" t="e">
        <x:f>IF(AND(150&lt;=$H$10,$H$12="計算可能"),$L$8,NA())</x:f>
        <x:v>#N/A</x:v>
      </x:c>
      <x:c r="Q219" s="21"/>
    </x:row>
    <x:row r="220" ht="21" customHeight="1">
      <x:c r="A220" s="21"/>
      <x:c r="B220" s="21"/>
      <x:c r="C220" s="21"/>
      <x:c r="D220" s="21"/>
      <x:c r="E220" s="21"/>
      <x:c r="F220" s="21"/>
      <x:c r="G220" s="102" t="e">
        <x:f>IF(151&lt;=$H$10,151,NA())</x:f>
        <x:v>#N/A</x:v>
      </x:c>
      <x:c r="H220" s="103" t="e">
        <x:f>IF(AND(ISNUMBER(B168),$H$12="計算可能"),B168,NA())</x:f>
        <x:v>#N/A</x:v>
      </x:c>
      <x:c r="I220" s="103" t="e">
        <x:f>IF(AND(151&lt;=$H$10,$H$12="計算可能"),$H$6,NA())</x:f>
        <x:v>#N/A</x:v>
      </x:c>
      <x:c r="J220" s="103" t="e">
        <x:f>IF(AND(151&lt;=$H$10,$H$12="計算可能"),$H$7,NA())</x:f>
        <x:v>#N/A</x:v>
      </x:c>
      <x:c r="K220" s="103" t="e">
        <x:f>IF(AND(151&lt;=$H$10,$H$12="計算可能"),$H$8,NA())</x:f>
        <x:v>#N/A</x:v>
      </x:c>
      <x:c r="L220" s="102" t="e">
        <x:f>IF(151&lt;=$H$10,151,NA())</x:f>
        <x:v>#N/A</x:v>
      </x:c>
      <x:c r="M220" s="103" t="e">
        <x:f>IF(AND(ISNUMBER(C168),$H$12="計算可能"),C168,NA())</x:f>
        <x:v>#N/A</x:v>
      </x:c>
      <x:c r="N220" s="103" t="e">
        <x:f>IF(AND(151&lt;=$H$10,$H$12="計算可能"),$L$6,NA())</x:f>
        <x:v>#N/A</x:v>
      </x:c>
      <x:c r="O220" s="103" t="e">
        <x:f>IF(AND(151&lt;=$H$10,$H$12="計算可能"),$L$7,NA())</x:f>
        <x:v>#N/A</x:v>
      </x:c>
      <x:c r="P220" s="103" t="e">
        <x:f>IF(AND(151&lt;=$H$10,$H$12="計算可能"),$L$8,NA())</x:f>
        <x:v>#N/A</x:v>
      </x:c>
      <x:c r="Q220" s="21"/>
    </x:row>
    <x:row r="221" ht="21" customHeight="1">
      <x:c r="A221" s="21"/>
      <x:c r="B221" s="21"/>
      <x:c r="C221" s="21"/>
      <x:c r="D221" s="21"/>
      <x:c r="E221" s="21"/>
      <x:c r="F221" s="21"/>
      <x:c r="G221" s="102" t="e">
        <x:f>IF(152&lt;=$H$10,152,NA())</x:f>
        <x:v>#N/A</x:v>
      </x:c>
      <x:c r="H221" s="103" t="e">
        <x:f>IF(AND(ISNUMBER(B169),$H$12="計算可能"),B169,NA())</x:f>
        <x:v>#N/A</x:v>
      </x:c>
      <x:c r="I221" s="103" t="e">
        <x:f>IF(AND(152&lt;=$H$10,$H$12="計算可能"),$H$6,NA())</x:f>
        <x:v>#N/A</x:v>
      </x:c>
      <x:c r="J221" s="103" t="e">
        <x:f>IF(AND(152&lt;=$H$10,$H$12="計算可能"),$H$7,NA())</x:f>
        <x:v>#N/A</x:v>
      </x:c>
      <x:c r="K221" s="103" t="e">
        <x:f>IF(AND(152&lt;=$H$10,$H$12="計算可能"),$H$8,NA())</x:f>
        <x:v>#N/A</x:v>
      </x:c>
      <x:c r="L221" s="102" t="e">
        <x:f>IF(152&lt;=$H$10,152,NA())</x:f>
        <x:v>#N/A</x:v>
      </x:c>
      <x:c r="M221" s="103" t="e">
        <x:f>IF(AND(ISNUMBER(C169),$H$12="計算可能"),C169,NA())</x:f>
        <x:v>#N/A</x:v>
      </x:c>
      <x:c r="N221" s="103" t="e">
        <x:f>IF(AND(152&lt;=$H$10,$H$12="計算可能"),$L$6,NA())</x:f>
        <x:v>#N/A</x:v>
      </x:c>
      <x:c r="O221" s="103" t="e">
        <x:f>IF(AND(152&lt;=$H$10,$H$12="計算可能"),$L$7,NA())</x:f>
        <x:v>#N/A</x:v>
      </x:c>
      <x:c r="P221" s="103" t="e">
        <x:f>IF(AND(152&lt;=$H$10,$H$12="計算可能"),$L$8,NA())</x:f>
        <x:v>#N/A</x:v>
      </x:c>
      <x:c r="Q221" s="21"/>
    </x:row>
    <x:row r="222" ht="21" customHeight="1">
      <x:c r="A222" s="21"/>
      <x:c r="B222" s="21"/>
      <x:c r="C222" s="21"/>
      <x:c r="D222" s="21"/>
      <x:c r="E222" s="21"/>
      <x:c r="F222" s="21"/>
      <x:c r="G222" s="102" t="e">
        <x:f>IF(153&lt;=$H$10,153,NA())</x:f>
        <x:v>#N/A</x:v>
      </x:c>
      <x:c r="H222" s="103" t="e">
        <x:f>IF(AND(ISNUMBER(B170),$H$12="計算可能"),B170,NA())</x:f>
        <x:v>#N/A</x:v>
      </x:c>
      <x:c r="I222" s="103" t="e">
        <x:f>IF(AND(153&lt;=$H$10,$H$12="計算可能"),$H$6,NA())</x:f>
        <x:v>#N/A</x:v>
      </x:c>
      <x:c r="J222" s="103" t="e">
        <x:f>IF(AND(153&lt;=$H$10,$H$12="計算可能"),$H$7,NA())</x:f>
        <x:v>#N/A</x:v>
      </x:c>
      <x:c r="K222" s="103" t="e">
        <x:f>IF(AND(153&lt;=$H$10,$H$12="計算可能"),$H$8,NA())</x:f>
        <x:v>#N/A</x:v>
      </x:c>
      <x:c r="L222" s="102" t="e">
        <x:f>IF(153&lt;=$H$10,153,NA())</x:f>
        <x:v>#N/A</x:v>
      </x:c>
      <x:c r="M222" s="103" t="e">
        <x:f>IF(AND(ISNUMBER(C170),$H$12="計算可能"),C170,NA())</x:f>
        <x:v>#N/A</x:v>
      </x:c>
      <x:c r="N222" s="103" t="e">
        <x:f>IF(AND(153&lt;=$H$10,$H$12="計算可能"),$L$6,NA())</x:f>
        <x:v>#N/A</x:v>
      </x:c>
      <x:c r="O222" s="103" t="e">
        <x:f>IF(AND(153&lt;=$H$10,$H$12="計算可能"),$L$7,NA())</x:f>
        <x:v>#N/A</x:v>
      </x:c>
      <x:c r="P222" s="103" t="e">
        <x:f>IF(AND(153&lt;=$H$10,$H$12="計算可能"),$L$8,NA())</x:f>
        <x:v>#N/A</x:v>
      </x:c>
      <x:c r="Q222" s="21"/>
    </x:row>
    <x:row r="223" ht="21" customHeight="1">
      <x:c r="A223" s="21"/>
      <x:c r="B223" s="21"/>
      <x:c r="C223" s="21"/>
      <x:c r="D223" s="21"/>
      <x:c r="E223" s="21"/>
      <x:c r="F223" s="21"/>
      <x:c r="G223" s="102" t="e">
        <x:f>IF(154&lt;=$H$10,154,NA())</x:f>
        <x:v>#N/A</x:v>
      </x:c>
      <x:c r="H223" s="103" t="e">
        <x:f>IF(AND(ISNUMBER(B171),$H$12="計算可能"),B171,NA())</x:f>
        <x:v>#N/A</x:v>
      </x:c>
      <x:c r="I223" s="103" t="e">
        <x:f>IF(AND(154&lt;=$H$10,$H$12="計算可能"),$H$6,NA())</x:f>
        <x:v>#N/A</x:v>
      </x:c>
      <x:c r="J223" s="103" t="e">
        <x:f>IF(AND(154&lt;=$H$10,$H$12="計算可能"),$H$7,NA())</x:f>
        <x:v>#N/A</x:v>
      </x:c>
      <x:c r="K223" s="103" t="e">
        <x:f>IF(AND(154&lt;=$H$10,$H$12="計算可能"),$H$8,NA())</x:f>
        <x:v>#N/A</x:v>
      </x:c>
      <x:c r="L223" s="102" t="e">
        <x:f>IF(154&lt;=$H$10,154,NA())</x:f>
        <x:v>#N/A</x:v>
      </x:c>
      <x:c r="M223" s="103" t="e">
        <x:f>IF(AND(ISNUMBER(C171),$H$12="計算可能"),C171,NA())</x:f>
        <x:v>#N/A</x:v>
      </x:c>
      <x:c r="N223" s="103" t="e">
        <x:f>IF(AND(154&lt;=$H$10,$H$12="計算可能"),$L$6,NA())</x:f>
        <x:v>#N/A</x:v>
      </x:c>
      <x:c r="O223" s="103" t="e">
        <x:f>IF(AND(154&lt;=$H$10,$H$12="計算可能"),$L$7,NA())</x:f>
        <x:v>#N/A</x:v>
      </x:c>
      <x:c r="P223" s="103" t="e">
        <x:f>IF(AND(154&lt;=$H$10,$H$12="計算可能"),$L$8,NA())</x:f>
        <x:v>#N/A</x:v>
      </x:c>
      <x:c r="Q223" s="21"/>
    </x:row>
    <x:row r="224" ht="21" customHeight="1">
      <x:c r="A224" s="21"/>
      <x:c r="B224" s="21"/>
      <x:c r="C224" s="21"/>
      <x:c r="D224" s="21"/>
      <x:c r="E224" s="21"/>
      <x:c r="F224" s="21"/>
      <x:c r="G224" s="102" t="e">
        <x:f>IF(155&lt;=$H$10,155,NA())</x:f>
        <x:v>#N/A</x:v>
      </x:c>
      <x:c r="H224" s="103" t="e">
        <x:f>IF(AND(ISNUMBER(B172),$H$12="計算可能"),B172,NA())</x:f>
        <x:v>#N/A</x:v>
      </x:c>
      <x:c r="I224" s="103" t="e">
        <x:f>IF(AND(155&lt;=$H$10,$H$12="計算可能"),$H$6,NA())</x:f>
        <x:v>#N/A</x:v>
      </x:c>
      <x:c r="J224" s="103" t="e">
        <x:f>IF(AND(155&lt;=$H$10,$H$12="計算可能"),$H$7,NA())</x:f>
        <x:v>#N/A</x:v>
      </x:c>
      <x:c r="K224" s="103" t="e">
        <x:f>IF(AND(155&lt;=$H$10,$H$12="計算可能"),$H$8,NA())</x:f>
        <x:v>#N/A</x:v>
      </x:c>
      <x:c r="L224" s="102" t="e">
        <x:f>IF(155&lt;=$H$10,155,NA())</x:f>
        <x:v>#N/A</x:v>
      </x:c>
      <x:c r="M224" s="103" t="e">
        <x:f>IF(AND(ISNUMBER(C172),$H$12="計算可能"),C172,NA())</x:f>
        <x:v>#N/A</x:v>
      </x:c>
      <x:c r="N224" s="103" t="e">
        <x:f>IF(AND(155&lt;=$H$10,$H$12="計算可能"),$L$6,NA())</x:f>
        <x:v>#N/A</x:v>
      </x:c>
      <x:c r="O224" s="103" t="e">
        <x:f>IF(AND(155&lt;=$H$10,$H$12="計算可能"),$L$7,NA())</x:f>
        <x:v>#N/A</x:v>
      </x:c>
      <x:c r="P224" s="103" t="e">
        <x:f>IF(AND(155&lt;=$H$10,$H$12="計算可能"),$L$8,NA())</x:f>
        <x:v>#N/A</x:v>
      </x:c>
      <x:c r="Q224" s="21"/>
    </x:row>
    <x:row r="225" ht="21" customHeight="1">
      <x:c r="A225" s="21"/>
      <x:c r="B225" s="21"/>
      <x:c r="C225" s="21"/>
      <x:c r="D225" s="21"/>
      <x:c r="E225" s="21"/>
      <x:c r="F225" s="21"/>
      <x:c r="G225" s="102" t="e">
        <x:f>IF(156&lt;=$H$10,156,NA())</x:f>
        <x:v>#N/A</x:v>
      </x:c>
      <x:c r="H225" s="103" t="e">
        <x:f>IF(AND(ISNUMBER(B173),$H$12="計算可能"),B173,NA())</x:f>
        <x:v>#N/A</x:v>
      </x:c>
      <x:c r="I225" s="103" t="e">
        <x:f>IF(AND(156&lt;=$H$10,$H$12="計算可能"),$H$6,NA())</x:f>
        <x:v>#N/A</x:v>
      </x:c>
      <x:c r="J225" s="103" t="e">
        <x:f>IF(AND(156&lt;=$H$10,$H$12="計算可能"),$H$7,NA())</x:f>
        <x:v>#N/A</x:v>
      </x:c>
      <x:c r="K225" s="103" t="e">
        <x:f>IF(AND(156&lt;=$H$10,$H$12="計算可能"),$H$8,NA())</x:f>
        <x:v>#N/A</x:v>
      </x:c>
      <x:c r="L225" s="102" t="e">
        <x:f>IF(156&lt;=$H$10,156,NA())</x:f>
        <x:v>#N/A</x:v>
      </x:c>
      <x:c r="M225" s="103" t="e">
        <x:f>IF(AND(ISNUMBER(C173),$H$12="計算可能"),C173,NA())</x:f>
        <x:v>#N/A</x:v>
      </x:c>
      <x:c r="N225" s="103" t="e">
        <x:f>IF(AND(156&lt;=$H$10,$H$12="計算可能"),$L$6,NA())</x:f>
        <x:v>#N/A</x:v>
      </x:c>
      <x:c r="O225" s="103" t="e">
        <x:f>IF(AND(156&lt;=$H$10,$H$12="計算可能"),$L$7,NA())</x:f>
        <x:v>#N/A</x:v>
      </x:c>
      <x:c r="P225" s="103" t="e">
        <x:f>IF(AND(156&lt;=$H$10,$H$12="計算可能"),$L$8,NA())</x:f>
        <x:v>#N/A</x:v>
      </x:c>
      <x:c r="Q225" s="21"/>
    </x:row>
    <x:row r="226" ht="21" customHeight="1">
      <x:c r="A226" s="21"/>
      <x:c r="B226" s="21"/>
      <x:c r="C226" s="21"/>
      <x:c r="D226" s="21"/>
      <x:c r="E226" s="21"/>
      <x:c r="F226" s="21"/>
      <x:c r="G226" s="102" t="e">
        <x:f>IF(157&lt;=$H$10,157,NA())</x:f>
        <x:v>#N/A</x:v>
      </x:c>
      <x:c r="H226" s="103" t="e">
        <x:f>IF(AND(ISNUMBER(B174),$H$12="計算可能"),B174,NA())</x:f>
        <x:v>#N/A</x:v>
      </x:c>
      <x:c r="I226" s="103" t="e">
        <x:f>IF(AND(157&lt;=$H$10,$H$12="計算可能"),$H$6,NA())</x:f>
        <x:v>#N/A</x:v>
      </x:c>
      <x:c r="J226" s="103" t="e">
        <x:f>IF(AND(157&lt;=$H$10,$H$12="計算可能"),$H$7,NA())</x:f>
        <x:v>#N/A</x:v>
      </x:c>
      <x:c r="K226" s="103" t="e">
        <x:f>IF(AND(157&lt;=$H$10,$H$12="計算可能"),$H$8,NA())</x:f>
        <x:v>#N/A</x:v>
      </x:c>
      <x:c r="L226" s="102" t="e">
        <x:f>IF(157&lt;=$H$10,157,NA())</x:f>
        <x:v>#N/A</x:v>
      </x:c>
      <x:c r="M226" s="103" t="e">
        <x:f>IF(AND(ISNUMBER(C174),$H$12="計算可能"),C174,NA())</x:f>
        <x:v>#N/A</x:v>
      </x:c>
      <x:c r="N226" s="103" t="e">
        <x:f>IF(AND(157&lt;=$H$10,$H$12="計算可能"),$L$6,NA())</x:f>
        <x:v>#N/A</x:v>
      </x:c>
      <x:c r="O226" s="103" t="e">
        <x:f>IF(AND(157&lt;=$H$10,$H$12="計算可能"),$L$7,NA())</x:f>
        <x:v>#N/A</x:v>
      </x:c>
      <x:c r="P226" s="103" t="e">
        <x:f>IF(AND(157&lt;=$H$10,$H$12="計算可能"),$L$8,NA())</x:f>
        <x:v>#N/A</x:v>
      </x:c>
      <x:c r="Q226" s="21"/>
    </x:row>
    <x:row r="227" ht="21" customHeight="1">
      <x:c r="A227" s="21"/>
      <x:c r="B227" s="21"/>
      <x:c r="C227" s="21"/>
      <x:c r="D227" s="21"/>
      <x:c r="E227" s="21"/>
      <x:c r="F227" s="21"/>
      <x:c r="G227" s="102" t="e">
        <x:f>IF(158&lt;=$H$10,158,NA())</x:f>
        <x:v>#N/A</x:v>
      </x:c>
      <x:c r="H227" s="103" t="e">
        <x:f>IF(AND(ISNUMBER(B175),$H$12="計算可能"),B175,NA())</x:f>
        <x:v>#N/A</x:v>
      </x:c>
      <x:c r="I227" s="103" t="e">
        <x:f>IF(AND(158&lt;=$H$10,$H$12="計算可能"),$H$6,NA())</x:f>
        <x:v>#N/A</x:v>
      </x:c>
      <x:c r="J227" s="103" t="e">
        <x:f>IF(AND(158&lt;=$H$10,$H$12="計算可能"),$H$7,NA())</x:f>
        <x:v>#N/A</x:v>
      </x:c>
      <x:c r="K227" s="103" t="e">
        <x:f>IF(AND(158&lt;=$H$10,$H$12="計算可能"),$H$8,NA())</x:f>
        <x:v>#N/A</x:v>
      </x:c>
      <x:c r="L227" s="102" t="e">
        <x:f>IF(158&lt;=$H$10,158,NA())</x:f>
        <x:v>#N/A</x:v>
      </x:c>
      <x:c r="M227" s="103" t="e">
        <x:f>IF(AND(ISNUMBER(C175),$H$12="計算可能"),C175,NA())</x:f>
        <x:v>#N/A</x:v>
      </x:c>
      <x:c r="N227" s="103" t="e">
        <x:f>IF(AND(158&lt;=$H$10,$H$12="計算可能"),$L$6,NA())</x:f>
        <x:v>#N/A</x:v>
      </x:c>
      <x:c r="O227" s="103" t="e">
        <x:f>IF(AND(158&lt;=$H$10,$H$12="計算可能"),$L$7,NA())</x:f>
        <x:v>#N/A</x:v>
      </x:c>
      <x:c r="P227" s="103" t="e">
        <x:f>IF(AND(158&lt;=$H$10,$H$12="計算可能"),$L$8,NA())</x:f>
        <x:v>#N/A</x:v>
      </x:c>
      <x:c r="Q227" s="21"/>
    </x:row>
    <x:row r="228" ht="21" customHeight="1">
      <x:c r="A228" s="21"/>
      <x:c r="B228" s="21"/>
      <x:c r="C228" s="21"/>
      <x:c r="D228" s="21"/>
      <x:c r="E228" s="21"/>
      <x:c r="F228" s="21"/>
      <x:c r="G228" s="102" t="e">
        <x:f>IF(159&lt;=$H$10,159,NA())</x:f>
        <x:v>#N/A</x:v>
      </x:c>
      <x:c r="H228" s="103" t="e">
        <x:f>IF(AND(ISNUMBER(B176),$H$12="計算可能"),B176,NA())</x:f>
        <x:v>#N/A</x:v>
      </x:c>
      <x:c r="I228" s="103" t="e">
        <x:f>IF(AND(159&lt;=$H$10,$H$12="計算可能"),$H$6,NA())</x:f>
        <x:v>#N/A</x:v>
      </x:c>
      <x:c r="J228" s="103" t="e">
        <x:f>IF(AND(159&lt;=$H$10,$H$12="計算可能"),$H$7,NA())</x:f>
        <x:v>#N/A</x:v>
      </x:c>
      <x:c r="K228" s="103" t="e">
        <x:f>IF(AND(159&lt;=$H$10,$H$12="計算可能"),$H$8,NA())</x:f>
        <x:v>#N/A</x:v>
      </x:c>
      <x:c r="L228" s="102" t="e">
        <x:f>IF(159&lt;=$H$10,159,NA())</x:f>
        <x:v>#N/A</x:v>
      </x:c>
      <x:c r="M228" s="103" t="e">
        <x:f>IF(AND(ISNUMBER(C176),$H$12="計算可能"),C176,NA())</x:f>
        <x:v>#N/A</x:v>
      </x:c>
      <x:c r="N228" s="103" t="e">
        <x:f>IF(AND(159&lt;=$H$10,$H$12="計算可能"),$L$6,NA())</x:f>
        <x:v>#N/A</x:v>
      </x:c>
      <x:c r="O228" s="103" t="e">
        <x:f>IF(AND(159&lt;=$H$10,$H$12="計算可能"),$L$7,NA())</x:f>
        <x:v>#N/A</x:v>
      </x:c>
      <x:c r="P228" s="103" t="e">
        <x:f>IF(AND(159&lt;=$H$10,$H$12="計算可能"),$L$8,NA())</x:f>
        <x:v>#N/A</x:v>
      </x:c>
      <x:c r="Q228" s="21"/>
    </x:row>
    <x:row r="229" ht="21" customHeight="1">
      <x:c r="A229" s="21"/>
      <x:c r="B229" s="21"/>
      <x:c r="C229" s="21"/>
      <x:c r="D229" s="21"/>
      <x:c r="E229" s="21"/>
      <x:c r="F229" s="21"/>
      <x:c r="G229" s="102" t="e">
        <x:f>IF(160&lt;=$H$10,160,NA())</x:f>
        <x:v>#N/A</x:v>
      </x:c>
      <x:c r="H229" s="103" t="e">
        <x:f>IF(AND(ISNUMBER(B177),$H$12="計算可能"),B177,NA())</x:f>
        <x:v>#N/A</x:v>
      </x:c>
      <x:c r="I229" s="103" t="e">
        <x:f>IF(AND(160&lt;=$H$10,$H$12="計算可能"),$H$6,NA())</x:f>
        <x:v>#N/A</x:v>
      </x:c>
      <x:c r="J229" s="103" t="e">
        <x:f>IF(AND(160&lt;=$H$10,$H$12="計算可能"),$H$7,NA())</x:f>
        <x:v>#N/A</x:v>
      </x:c>
      <x:c r="K229" s="103" t="e">
        <x:f>IF(AND(160&lt;=$H$10,$H$12="計算可能"),$H$8,NA())</x:f>
        <x:v>#N/A</x:v>
      </x:c>
      <x:c r="L229" s="102" t="e">
        <x:f>IF(160&lt;=$H$10,160,NA())</x:f>
        <x:v>#N/A</x:v>
      </x:c>
      <x:c r="M229" s="103" t="e">
        <x:f>IF(AND(ISNUMBER(C177),$H$12="計算可能"),C177,NA())</x:f>
        <x:v>#N/A</x:v>
      </x:c>
      <x:c r="N229" s="103" t="e">
        <x:f>IF(AND(160&lt;=$H$10,$H$12="計算可能"),$L$6,NA())</x:f>
        <x:v>#N/A</x:v>
      </x:c>
      <x:c r="O229" s="103" t="e">
        <x:f>IF(AND(160&lt;=$H$10,$H$12="計算可能"),$L$7,NA())</x:f>
        <x:v>#N/A</x:v>
      </x:c>
      <x:c r="P229" s="103" t="e">
        <x:f>IF(AND(160&lt;=$H$10,$H$12="計算可能"),$L$8,NA())</x:f>
        <x:v>#N/A</x:v>
      </x:c>
      <x:c r="Q229" s="21"/>
    </x:row>
    <x:row r="230" ht="21" customHeight="1">
      <x:c r="A230" s="21"/>
      <x:c r="B230" s="21"/>
      <x:c r="C230" s="21"/>
      <x:c r="D230" s="21"/>
      <x:c r="E230" s="21"/>
      <x:c r="F230" s="21"/>
      <x:c r="G230" s="102" t="e">
        <x:f>IF(161&lt;=$H$10,161,NA())</x:f>
        <x:v>#N/A</x:v>
      </x:c>
      <x:c r="H230" s="103" t="e">
        <x:f>IF(AND(ISNUMBER(B178),$H$12="計算可能"),B178,NA())</x:f>
        <x:v>#N/A</x:v>
      </x:c>
      <x:c r="I230" s="103" t="e">
        <x:f>IF(AND(161&lt;=$H$10,$H$12="計算可能"),$H$6,NA())</x:f>
        <x:v>#N/A</x:v>
      </x:c>
      <x:c r="J230" s="103" t="e">
        <x:f>IF(AND(161&lt;=$H$10,$H$12="計算可能"),$H$7,NA())</x:f>
        <x:v>#N/A</x:v>
      </x:c>
      <x:c r="K230" s="103" t="e">
        <x:f>IF(AND(161&lt;=$H$10,$H$12="計算可能"),$H$8,NA())</x:f>
        <x:v>#N/A</x:v>
      </x:c>
      <x:c r="L230" s="102" t="e">
        <x:f>IF(161&lt;=$H$10,161,NA())</x:f>
        <x:v>#N/A</x:v>
      </x:c>
      <x:c r="M230" s="103" t="e">
        <x:f>IF(AND(ISNUMBER(C178),$H$12="計算可能"),C178,NA())</x:f>
        <x:v>#N/A</x:v>
      </x:c>
      <x:c r="N230" s="103" t="e">
        <x:f>IF(AND(161&lt;=$H$10,$H$12="計算可能"),$L$6,NA())</x:f>
        <x:v>#N/A</x:v>
      </x:c>
      <x:c r="O230" s="103" t="e">
        <x:f>IF(AND(161&lt;=$H$10,$H$12="計算可能"),$L$7,NA())</x:f>
        <x:v>#N/A</x:v>
      </x:c>
      <x:c r="P230" s="103" t="e">
        <x:f>IF(AND(161&lt;=$H$10,$H$12="計算可能"),$L$8,NA())</x:f>
        <x:v>#N/A</x:v>
      </x:c>
      <x:c r="Q230" s="21"/>
    </x:row>
    <x:row r="231" ht="21" customHeight="1">
      <x:c r="A231" s="21"/>
      <x:c r="B231" s="21"/>
      <x:c r="C231" s="21"/>
      <x:c r="D231" s="21"/>
      <x:c r="E231" s="21"/>
      <x:c r="F231" s="21"/>
      <x:c r="G231" s="102" t="e">
        <x:f>IF(162&lt;=$H$10,162,NA())</x:f>
        <x:v>#N/A</x:v>
      </x:c>
      <x:c r="H231" s="103" t="e">
        <x:f>IF(AND(ISNUMBER(B179),$H$12="計算可能"),B179,NA())</x:f>
        <x:v>#N/A</x:v>
      </x:c>
      <x:c r="I231" s="103" t="e">
        <x:f>IF(AND(162&lt;=$H$10,$H$12="計算可能"),$H$6,NA())</x:f>
        <x:v>#N/A</x:v>
      </x:c>
      <x:c r="J231" s="103" t="e">
        <x:f>IF(AND(162&lt;=$H$10,$H$12="計算可能"),$H$7,NA())</x:f>
        <x:v>#N/A</x:v>
      </x:c>
      <x:c r="K231" s="103" t="e">
        <x:f>IF(AND(162&lt;=$H$10,$H$12="計算可能"),$H$8,NA())</x:f>
        <x:v>#N/A</x:v>
      </x:c>
      <x:c r="L231" s="102" t="e">
        <x:f>IF(162&lt;=$H$10,162,NA())</x:f>
        <x:v>#N/A</x:v>
      </x:c>
      <x:c r="M231" s="103" t="e">
        <x:f>IF(AND(ISNUMBER(C179),$H$12="計算可能"),C179,NA())</x:f>
        <x:v>#N/A</x:v>
      </x:c>
      <x:c r="N231" s="103" t="e">
        <x:f>IF(AND(162&lt;=$H$10,$H$12="計算可能"),$L$6,NA())</x:f>
        <x:v>#N/A</x:v>
      </x:c>
      <x:c r="O231" s="103" t="e">
        <x:f>IF(AND(162&lt;=$H$10,$H$12="計算可能"),$L$7,NA())</x:f>
        <x:v>#N/A</x:v>
      </x:c>
      <x:c r="P231" s="103" t="e">
        <x:f>IF(AND(162&lt;=$H$10,$H$12="計算可能"),$L$8,NA())</x:f>
        <x:v>#N/A</x:v>
      </x:c>
      <x:c r="Q231" s="21"/>
    </x:row>
    <x:row r="232" ht="21" customHeight="1">
      <x:c r="A232" s="21"/>
      <x:c r="B232" s="21"/>
      <x:c r="C232" s="21"/>
      <x:c r="D232" s="21"/>
      <x:c r="E232" s="21"/>
      <x:c r="F232" s="21"/>
      <x:c r="G232" s="102" t="e">
        <x:f>IF(163&lt;=$H$10,163,NA())</x:f>
        <x:v>#N/A</x:v>
      </x:c>
      <x:c r="H232" s="103" t="e">
        <x:f>IF(AND(ISNUMBER(B180),$H$12="計算可能"),B180,NA())</x:f>
        <x:v>#N/A</x:v>
      </x:c>
      <x:c r="I232" s="103" t="e">
        <x:f>IF(AND(163&lt;=$H$10,$H$12="計算可能"),$H$6,NA())</x:f>
        <x:v>#N/A</x:v>
      </x:c>
      <x:c r="J232" s="103" t="e">
        <x:f>IF(AND(163&lt;=$H$10,$H$12="計算可能"),$H$7,NA())</x:f>
        <x:v>#N/A</x:v>
      </x:c>
      <x:c r="K232" s="103" t="e">
        <x:f>IF(AND(163&lt;=$H$10,$H$12="計算可能"),$H$8,NA())</x:f>
        <x:v>#N/A</x:v>
      </x:c>
      <x:c r="L232" s="102" t="e">
        <x:f>IF(163&lt;=$H$10,163,NA())</x:f>
        <x:v>#N/A</x:v>
      </x:c>
      <x:c r="M232" s="103" t="e">
        <x:f>IF(AND(ISNUMBER(C180),$H$12="計算可能"),C180,NA())</x:f>
        <x:v>#N/A</x:v>
      </x:c>
      <x:c r="N232" s="103" t="e">
        <x:f>IF(AND(163&lt;=$H$10,$H$12="計算可能"),$L$6,NA())</x:f>
        <x:v>#N/A</x:v>
      </x:c>
      <x:c r="O232" s="103" t="e">
        <x:f>IF(AND(163&lt;=$H$10,$H$12="計算可能"),$L$7,NA())</x:f>
        <x:v>#N/A</x:v>
      </x:c>
      <x:c r="P232" s="103" t="e">
        <x:f>IF(AND(163&lt;=$H$10,$H$12="計算可能"),$L$8,NA())</x:f>
        <x:v>#N/A</x:v>
      </x:c>
      <x:c r="Q232" s="21"/>
    </x:row>
    <x:row r="233" ht="21" customHeight="1">
      <x:c r="A233" s="21"/>
      <x:c r="B233" s="21"/>
      <x:c r="C233" s="21"/>
      <x:c r="D233" s="21"/>
      <x:c r="E233" s="21"/>
      <x:c r="F233" s="21"/>
      <x:c r="G233" s="102" t="e">
        <x:f>IF(164&lt;=$H$10,164,NA())</x:f>
        <x:v>#N/A</x:v>
      </x:c>
      <x:c r="H233" s="103" t="e">
        <x:f>IF(AND(ISNUMBER(B181),$H$12="計算可能"),B181,NA())</x:f>
        <x:v>#N/A</x:v>
      </x:c>
      <x:c r="I233" s="103" t="e">
        <x:f>IF(AND(164&lt;=$H$10,$H$12="計算可能"),$H$6,NA())</x:f>
        <x:v>#N/A</x:v>
      </x:c>
      <x:c r="J233" s="103" t="e">
        <x:f>IF(AND(164&lt;=$H$10,$H$12="計算可能"),$H$7,NA())</x:f>
        <x:v>#N/A</x:v>
      </x:c>
      <x:c r="K233" s="103" t="e">
        <x:f>IF(AND(164&lt;=$H$10,$H$12="計算可能"),$H$8,NA())</x:f>
        <x:v>#N/A</x:v>
      </x:c>
      <x:c r="L233" s="102" t="e">
        <x:f>IF(164&lt;=$H$10,164,NA())</x:f>
        <x:v>#N/A</x:v>
      </x:c>
      <x:c r="M233" s="103" t="e">
        <x:f>IF(AND(ISNUMBER(C181),$H$12="計算可能"),C181,NA())</x:f>
        <x:v>#N/A</x:v>
      </x:c>
      <x:c r="N233" s="103" t="e">
        <x:f>IF(AND(164&lt;=$H$10,$H$12="計算可能"),$L$6,NA())</x:f>
        <x:v>#N/A</x:v>
      </x:c>
      <x:c r="O233" s="103" t="e">
        <x:f>IF(AND(164&lt;=$H$10,$H$12="計算可能"),$L$7,NA())</x:f>
        <x:v>#N/A</x:v>
      </x:c>
      <x:c r="P233" s="103" t="e">
        <x:f>IF(AND(164&lt;=$H$10,$H$12="計算可能"),$L$8,NA())</x:f>
        <x:v>#N/A</x:v>
      </x:c>
      <x:c r="Q233" s="21"/>
    </x:row>
    <x:row r="234" ht="21" customHeight="1">
      <x:c r="A234" s="21"/>
      <x:c r="B234" s="21"/>
      <x:c r="C234" s="21"/>
      <x:c r="D234" s="21"/>
      <x:c r="E234" s="21"/>
      <x:c r="F234" s="21"/>
      <x:c r="G234" s="102" t="e">
        <x:f>IF(165&lt;=$H$10,165,NA())</x:f>
        <x:v>#N/A</x:v>
      </x:c>
      <x:c r="H234" s="103" t="e">
        <x:f>IF(AND(ISNUMBER(B182),$H$12="計算可能"),B182,NA())</x:f>
        <x:v>#N/A</x:v>
      </x:c>
      <x:c r="I234" s="103" t="e">
        <x:f>IF(AND(165&lt;=$H$10,$H$12="計算可能"),$H$6,NA())</x:f>
        <x:v>#N/A</x:v>
      </x:c>
      <x:c r="J234" s="103" t="e">
        <x:f>IF(AND(165&lt;=$H$10,$H$12="計算可能"),$H$7,NA())</x:f>
        <x:v>#N/A</x:v>
      </x:c>
      <x:c r="K234" s="103" t="e">
        <x:f>IF(AND(165&lt;=$H$10,$H$12="計算可能"),$H$8,NA())</x:f>
        <x:v>#N/A</x:v>
      </x:c>
      <x:c r="L234" s="102" t="e">
        <x:f>IF(165&lt;=$H$10,165,NA())</x:f>
        <x:v>#N/A</x:v>
      </x:c>
      <x:c r="M234" s="103" t="e">
        <x:f>IF(AND(ISNUMBER(C182),$H$12="計算可能"),C182,NA())</x:f>
        <x:v>#N/A</x:v>
      </x:c>
      <x:c r="N234" s="103" t="e">
        <x:f>IF(AND(165&lt;=$H$10,$H$12="計算可能"),$L$6,NA())</x:f>
        <x:v>#N/A</x:v>
      </x:c>
      <x:c r="O234" s="103" t="e">
        <x:f>IF(AND(165&lt;=$H$10,$H$12="計算可能"),$L$7,NA())</x:f>
        <x:v>#N/A</x:v>
      </x:c>
      <x:c r="P234" s="103" t="e">
        <x:f>IF(AND(165&lt;=$H$10,$H$12="計算可能"),$L$8,NA())</x:f>
        <x:v>#N/A</x:v>
      </x:c>
      <x:c r="Q234" s="21"/>
    </x:row>
    <x:row r="235" ht="21" customHeight="1">
      <x:c r="A235" s="21"/>
      <x:c r="B235" s="21"/>
      <x:c r="C235" s="21"/>
      <x:c r="D235" s="21"/>
      <x:c r="E235" s="21"/>
      <x:c r="F235" s="21"/>
      <x:c r="G235" s="102" t="e">
        <x:f>IF(166&lt;=$H$10,166,NA())</x:f>
        <x:v>#N/A</x:v>
      </x:c>
      <x:c r="H235" s="103" t="e">
        <x:f>IF(AND(ISNUMBER(B183),$H$12="計算可能"),B183,NA())</x:f>
        <x:v>#N/A</x:v>
      </x:c>
      <x:c r="I235" s="103" t="e">
        <x:f>IF(AND(166&lt;=$H$10,$H$12="計算可能"),$H$6,NA())</x:f>
        <x:v>#N/A</x:v>
      </x:c>
      <x:c r="J235" s="103" t="e">
        <x:f>IF(AND(166&lt;=$H$10,$H$12="計算可能"),$H$7,NA())</x:f>
        <x:v>#N/A</x:v>
      </x:c>
      <x:c r="K235" s="103" t="e">
        <x:f>IF(AND(166&lt;=$H$10,$H$12="計算可能"),$H$8,NA())</x:f>
        <x:v>#N/A</x:v>
      </x:c>
      <x:c r="L235" s="102" t="e">
        <x:f>IF(166&lt;=$H$10,166,NA())</x:f>
        <x:v>#N/A</x:v>
      </x:c>
      <x:c r="M235" s="103" t="e">
        <x:f>IF(AND(ISNUMBER(C183),$H$12="計算可能"),C183,NA())</x:f>
        <x:v>#N/A</x:v>
      </x:c>
      <x:c r="N235" s="103" t="e">
        <x:f>IF(AND(166&lt;=$H$10,$H$12="計算可能"),$L$6,NA())</x:f>
        <x:v>#N/A</x:v>
      </x:c>
      <x:c r="O235" s="103" t="e">
        <x:f>IF(AND(166&lt;=$H$10,$H$12="計算可能"),$L$7,NA())</x:f>
        <x:v>#N/A</x:v>
      </x:c>
      <x:c r="P235" s="103" t="e">
        <x:f>IF(AND(166&lt;=$H$10,$H$12="計算可能"),$L$8,NA())</x:f>
        <x:v>#N/A</x:v>
      </x:c>
      <x:c r="Q235" s="21"/>
    </x:row>
    <x:row r="236" ht="21" customHeight="1">
      <x:c r="A236" s="21"/>
      <x:c r="B236" s="21"/>
      <x:c r="C236" s="21"/>
      <x:c r="D236" s="21"/>
      <x:c r="E236" s="21"/>
      <x:c r="F236" s="21"/>
      <x:c r="G236" s="102" t="e">
        <x:f>IF(167&lt;=$H$10,167,NA())</x:f>
        <x:v>#N/A</x:v>
      </x:c>
      <x:c r="H236" s="103" t="e">
        <x:f>IF(AND(ISNUMBER(B184),$H$12="計算可能"),B184,NA())</x:f>
        <x:v>#N/A</x:v>
      </x:c>
      <x:c r="I236" s="103" t="e">
        <x:f>IF(AND(167&lt;=$H$10,$H$12="計算可能"),$H$6,NA())</x:f>
        <x:v>#N/A</x:v>
      </x:c>
      <x:c r="J236" s="103" t="e">
        <x:f>IF(AND(167&lt;=$H$10,$H$12="計算可能"),$H$7,NA())</x:f>
        <x:v>#N/A</x:v>
      </x:c>
      <x:c r="K236" s="103" t="e">
        <x:f>IF(AND(167&lt;=$H$10,$H$12="計算可能"),$H$8,NA())</x:f>
        <x:v>#N/A</x:v>
      </x:c>
      <x:c r="L236" s="102" t="e">
        <x:f>IF(167&lt;=$H$10,167,NA())</x:f>
        <x:v>#N/A</x:v>
      </x:c>
      <x:c r="M236" s="103" t="e">
        <x:f>IF(AND(ISNUMBER(C184),$H$12="計算可能"),C184,NA())</x:f>
        <x:v>#N/A</x:v>
      </x:c>
      <x:c r="N236" s="103" t="e">
        <x:f>IF(AND(167&lt;=$H$10,$H$12="計算可能"),$L$6,NA())</x:f>
        <x:v>#N/A</x:v>
      </x:c>
      <x:c r="O236" s="103" t="e">
        <x:f>IF(AND(167&lt;=$H$10,$H$12="計算可能"),$L$7,NA())</x:f>
        <x:v>#N/A</x:v>
      </x:c>
      <x:c r="P236" s="103" t="e">
        <x:f>IF(AND(167&lt;=$H$10,$H$12="計算可能"),$L$8,NA())</x:f>
        <x:v>#N/A</x:v>
      </x:c>
      <x:c r="Q236" s="21"/>
    </x:row>
    <x:row r="237" ht="21" customHeight="1">
      <x:c r="A237" s="21"/>
      <x:c r="B237" s="21"/>
      <x:c r="C237" s="21"/>
      <x:c r="D237" s="21"/>
      <x:c r="E237" s="21"/>
      <x:c r="F237" s="21"/>
      <x:c r="G237" s="102" t="e">
        <x:f>IF(168&lt;=$H$10,168,NA())</x:f>
        <x:v>#N/A</x:v>
      </x:c>
      <x:c r="H237" s="103" t="e">
        <x:f>IF(AND(ISNUMBER(B185),$H$12="計算可能"),B185,NA())</x:f>
        <x:v>#N/A</x:v>
      </x:c>
      <x:c r="I237" s="103" t="e">
        <x:f>IF(AND(168&lt;=$H$10,$H$12="計算可能"),$H$6,NA())</x:f>
        <x:v>#N/A</x:v>
      </x:c>
      <x:c r="J237" s="103" t="e">
        <x:f>IF(AND(168&lt;=$H$10,$H$12="計算可能"),$H$7,NA())</x:f>
        <x:v>#N/A</x:v>
      </x:c>
      <x:c r="K237" s="103" t="e">
        <x:f>IF(AND(168&lt;=$H$10,$H$12="計算可能"),$H$8,NA())</x:f>
        <x:v>#N/A</x:v>
      </x:c>
      <x:c r="L237" s="102" t="e">
        <x:f>IF(168&lt;=$H$10,168,NA())</x:f>
        <x:v>#N/A</x:v>
      </x:c>
      <x:c r="M237" s="103" t="e">
        <x:f>IF(AND(ISNUMBER(C185),$H$12="計算可能"),C185,NA())</x:f>
        <x:v>#N/A</x:v>
      </x:c>
      <x:c r="N237" s="103" t="e">
        <x:f>IF(AND(168&lt;=$H$10,$H$12="計算可能"),$L$6,NA())</x:f>
        <x:v>#N/A</x:v>
      </x:c>
      <x:c r="O237" s="103" t="e">
        <x:f>IF(AND(168&lt;=$H$10,$H$12="計算可能"),$L$7,NA())</x:f>
        <x:v>#N/A</x:v>
      </x:c>
      <x:c r="P237" s="103" t="e">
        <x:f>IF(AND(168&lt;=$H$10,$H$12="計算可能"),$L$8,NA())</x:f>
        <x:v>#N/A</x:v>
      </x:c>
      <x:c r="Q237" s="21"/>
    </x:row>
    <x:row r="238" ht="21" customHeight="1">
      <x:c r="A238" s="21"/>
      <x:c r="B238" s="21"/>
      <x:c r="C238" s="21"/>
      <x:c r="D238" s="21"/>
      <x:c r="E238" s="21"/>
      <x:c r="F238" s="21"/>
      <x:c r="G238" s="102" t="e">
        <x:f>IF(169&lt;=$H$10,169,NA())</x:f>
        <x:v>#N/A</x:v>
      </x:c>
      <x:c r="H238" s="103" t="e">
        <x:f>IF(AND(ISNUMBER(B186),$H$12="計算可能"),B186,NA())</x:f>
        <x:v>#N/A</x:v>
      </x:c>
      <x:c r="I238" s="103" t="e">
        <x:f>IF(AND(169&lt;=$H$10,$H$12="計算可能"),$H$6,NA())</x:f>
        <x:v>#N/A</x:v>
      </x:c>
      <x:c r="J238" s="103" t="e">
        <x:f>IF(AND(169&lt;=$H$10,$H$12="計算可能"),$H$7,NA())</x:f>
        <x:v>#N/A</x:v>
      </x:c>
      <x:c r="K238" s="103" t="e">
        <x:f>IF(AND(169&lt;=$H$10,$H$12="計算可能"),$H$8,NA())</x:f>
        <x:v>#N/A</x:v>
      </x:c>
      <x:c r="L238" s="102" t="e">
        <x:f>IF(169&lt;=$H$10,169,NA())</x:f>
        <x:v>#N/A</x:v>
      </x:c>
      <x:c r="M238" s="103" t="e">
        <x:f>IF(AND(ISNUMBER(C186),$H$12="計算可能"),C186,NA())</x:f>
        <x:v>#N/A</x:v>
      </x:c>
      <x:c r="N238" s="103" t="e">
        <x:f>IF(AND(169&lt;=$H$10,$H$12="計算可能"),$L$6,NA())</x:f>
        <x:v>#N/A</x:v>
      </x:c>
      <x:c r="O238" s="103" t="e">
        <x:f>IF(AND(169&lt;=$H$10,$H$12="計算可能"),$L$7,NA())</x:f>
        <x:v>#N/A</x:v>
      </x:c>
      <x:c r="P238" s="103" t="e">
        <x:f>IF(AND(169&lt;=$H$10,$H$12="計算可能"),$L$8,NA())</x:f>
        <x:v>#N/A</x:v>
      </x:c>
      <x:c r="Q238" s="21"/>
    </x:row>
    <x:row r="239" ht="21" customHeight="1">
      <x:c r="A239" s="21"/>
      <x:c r="B239" s="21"/>
      <x:c r="C239" s="21"/>
      <x:c r="D239" s="21"/>
      <x:c r="E239" s="21"/>
      <x:c r="F239" s="21"/>
      <x:c r="G239" s="102" t="e">
        <x:f>IF(170&lt;=$H$10,170,NA())</x:f>
        <x:v>#N/A</x:v>
      </x:c>
      <x:c r="H239" s="103" t="e">
        <x:f>IF(AND(ISNUMBER(B187),$H$12="計算可能"),B187,NA())</x:f>
        <x:v>#N/A</x:v>
      </x:c>
      <x:c r="I239" s="103" t="e">
        <x:f>IF(AND(170&lt;=$H$10,$H$12="計算可能"),$H$6,NA())</x:f>
        <x:v>#N/A</x:v>
      </x:c>
      <x:c r="J239" s="103" t="e">
        <x:f>IF(AND(170&lt;=$H$10,$H$12="計算可能"),$H$7,NA())</x:f>
        <x:v>#N/A</x:v>
      </x:c>
      <x:c r="K239" s="103" t="e">
        <x:f>IF(AND(170&lt;=$H$10,$H$12="計算可能"),$H$8,NA())</x:f>
        <x:v>#N/A</x:v>
      </x:c>
      <x:c r="L239" s="102" t="e">
        <x:f>IF(170&lt;=$H$10,170,NA())</x:f>
        <x:v>#N/A</x:v>
      </x:c>
      <x:c r="M239" s="103" t="e">
        <x:f>IF(AND(ISNUMBER(C187),$H$12="計算可能"),C187,NA())</x:f>
        <x:v>#N/A</x:v>
      </x:c>
      <x:c r="N239" s="103" t="e">
        <x:f>IF(AND(170&lt;=$H$10,$H$12="計算可能"),$L$6,NA())</x:f>
        <x:v>#N/A</x:v>
      </x:c>
      <x:c r="O239" s="103" t="e">
        <x:f>IF(AND(170&lt;=$H$10,$H$12="計算可能"),$L$7,NA())</x:f>
        <x:v>#N/A</x:v>
      </x:c>
      <x:c r="P239" s="103" t="e">
        <x:f>IF(AND(170&lt;=$H$10,$H$12="計算可能"),$L$8,NA())</x:f>
        <x:v>#N/A</x:v>
      </x:c>
      <x:c r="Q239" s="21"/>
    </x:row>
    <x:row r="240" ht="21" customHeight="1">
      <x:c r="A240" s="21"/>
      <x:c r="B240" s="21"/>
      <x:c r="C240" s="21"/>
      <x:c r="D240" s="21"/>
      <x:c r="E240" s="21"/>
      <x:c r="F240" s="21"/>
      <x:c r="G240" s="102" t="e">
        <x:f>IF(171&lt;=$H$10,171,NA())</x:f>
        <x:v>#N/A</x:v>
      </x:c>
      <x:c r="H240" s="103" t="e">
        <x:f>IF(AND(ISNUMBER(B188),$H$12="計算可能"),B188,NA())</x:f>
        <x:v>#N/A</x:v>
      </x:c>
      <x:c r="I240" s="103" t="e">
        <x:f>IF(AND(171&lt;=$H$10,$H$12="計算可能"),$H$6,NA())</x:f>
        <x:v>#N/A</x:v>
      </x:c>
      <x:c r="J240" s="103" t="e">
        <x:f>IF(AND(171&lt;=$H$10,$H$12="計算可能"),$H$7,NA())</x:f>
        <x:v>#N/A</x:v>
      </x:c>
      <x:c r="K240" s="103" t="e">
        <x:f>IF(AND(171&lt;=$H$10,$H$12="計算可能"),$H$8,NA())</x:f>
        <x:v>#N/A</x:v>
      </x:c>
      <x:c r="L240" s="102" t="e">
        <x:f>IF(171&lt;=$H$10,171,NA())</x:f>
        <x:v>#N/A</x:v>
      </x:c>
      <x:c r="M240" s="103" t="e">
        <x:f>IF(AND(ISNUMBER(C188),$H$12="計算可能"),C188,NA())</x:f>
        <x:v>#N/A</x:v>
      </x:c>
      <x:c r="N240" s="103" t="e">
        <x:f>IF(AND(171&lt;=$H$10,$H$12="計算可能"),$L$6,NA())</x:f>
        <x:v>#N/A</x:v>
      </x:c>
      <x:c r="O240" s="103" t="e">
        <x:f>IF(AND(171&lt;=$H$10,$H$12="計算可能"),$L$7,NA())</x:f>
        <x:v>#N/A</x:v>
      </x:c>
      <x:c r="P240" s="103" t="e">
        <x:f>IF(AND(171&lt;=$H$10,$H$12="計算可能"),$L$8,NA())</x:f>
        <x:v>#N/A</x:v>
      </x:c>
      <x:c r="Q240" s="21"/>
    </x:row>
    <x:row r="241" ht="21" customHeight="1">
      <x:c r="A241" s="21"/>
      <x:c r="B241" s="21"/>
      <x:c r="C241" s="21"/>
      <x:c r="D241" s="21"/>
      <x:c r="E241" s="21"/>
      <x:c r="F241" s="21"/>
      <x:c r="G241" s="102" t="e">
        <x:f>IF(172&lt;=$H$10,172,NA())</x:f>
        <x:v>#N/A</x:v>
      </x:c>
      <x:c r="H241" s="103" t="e">
        <x:f>IF(AND(ISNUMBER(B189),$H$12="計算可能"),B189,NA())</x:f>
        <x:v>#N/A</x:v>
      </x:c>
      <x:c r="I241" s="103" t="e">
        <x:f>IF(AND(172&lt;=$H$10,$H$12="計算可能"),$H$6,NA())</x:f>
        <x:v>#N/A</x:v>
      </x:c>
      <x:c r="J241" s="103" t="e">
        <x:f>IF(AND(172&lt;=$H$10,$H$12="計算可能"),$H$7,NA())</x:f>
        <x:v>#N/A</x:v>
      </x:c>
      <x:c r="K241" s="103" t="e">
        <x:f>IF(AND(172&lt;=$H$10,$H$12="計算可能"),$H$8,NA())</x:f>
        <x:v>#N/A</x:v>
      </x:c>
      <x:c r="L241" s="102" t="e">
        <x:f>IF(172&lt;=$H$10,172,NA())</x:f>
        <x:v>#N/A</x:v>
      </x:c>
      <x:c r="M241" s="103" t="e">
        <x:f>IF(AND(ISNUMBER(C189),$H$12="計算可能"),C189,NA())</x:f>
        <x:v>#N/A</x:v>
      </x:c>
      <x:c r="N241" s="103" t="e">
        <x:f>IF(AND(172&lt;=$H$10,$H$12="計算可能"),$L$6,NA())</x:f>
        <x:v>#N/A</x:v>
      </x:c>
      <x:c r="O241" s="103" t="e">
        <x:f>IF(AND(172&lt;=$H$10,$H$12="計算可能"),$L$7,NA())</x:f>
        <x:v>#N/A</x:v>
      </x:c>
      <x:c r="P241" s="103" t="e">
        <x:f>IF(AND(172&lt;=$H$10,$H$12="計算可能"),$L$8,NA())</x:f>
        <x:v>#N/A</x:v>
      </x:c>
      <x:c r="Q241" s="21"/>
    </x:row>
    <x:row r="242" ht="21" customHeight="1">
      <x:c r="A242" s="21"/>
      <x:c r="B242" s="21"/>
      <x:c r="C242" s="21"/>
      <x:c r="D242" s="21"/>
      <x:c r="E242" s="21"/>
      <x:c r="F242" s="21"/>
      <x:c r="G242" s="102" t="e">
        <x:f>IF(173&lt;=$H$10,173,NA())</x:f>
        <x:v>#N/A</x:v>
      </x:c>
      <x:c r="H242" s="103" t="e">
        <x:f>IF(AND(ISNUMBER(B190),$H$12="計算可能"),B190,NA())</x:f>
        <x:v>#N/A</x:v>
      </x:c>
      <x:c r="I242" s="103" t="e">
        <x:f>IF(AND(173&lt;=$H$10,$H$12="計算可能"),$H$6,NA())</x:f>
        <x:v>#N/A</x:v>
      </x:c>
      <x:c r="J242" s="103" t="e">
        <x:f>IF(AND(173&lt;=$H$10,$H$12="計算可能"),$H$7,NA())</x:f>
        <x:v>#N/A</x:v>
      </x:c>
      <x:c r="K242" s="103" t="e">
        <x:f>IF(AND(173&lt;=$H$10,$H$12="計算可能"),$H$8,NA())</x:f>
        <x:v>#N/A</x:v>
      </x:c>
      <x:c r="L242" s="102" t="e">
        <x:f>IF(173&lt;=$H$10,173,NA())</x:f>
        <x:v>#N/A</x:v>
      </x:c>
      <x:c r="M242" s="103" t="e">
        <x:f>IF(AND(ISNUMBER(C190),$H$12="計算可能"),C190,NA())</x:f>
        <x:v>#N/A</x:v>
      </x:c>
      <x:c r="N242" s="103" t="e">
        <x:f>IF(AND(173&lt;=$H$10,$H$12="計算可能"),$L$6,NA())</x:f>
        <x:v>#N/A</x:v>
      </x:c>
      <x:c r="O242" s="103" t="e">
        <x:f>IF(AND(173&lt;=$H$10,$H$12="計算可能"),$L$7,NA())</x:f>
        <x:v>#N/A</x:v>
      </x:c>
      <x:c r="P242" s="103" t="e">
        <x:f>IF(AND(173&lt;=$H$10,$H$12="計算可能"),$L$8,NA())</x:f>
        <x:v>#N/A</x:v>
      </x:c>
      <x:c r="Q242" s="21"/>
    </x:row>
    <x:row r="243" ht="21" customHeight="1">
      <x:c r="A243" s="21"/>
      <x:c r="B243" s="21"/>
      <x:c r="C243" s="21"/>
      <x:c r="D243" s="21"/>
      <x:c r="E243" s="21"/>
      <x:c r="F243" s="21"/>
      <x:c r="G243" s="102" t="e">
        <x:f>IF(174&lt;=$H$10,174,NA())</x:f>
        <x:v>#N/A</x:v>
      </x:c>
      <x:c r="H243" s="103" t="e">
        <x:f>IF(AND(ISNUMBER(B191),$H$12="計算可能"),B191,NA())</x:f>
        <x:v>#N/A</x:v>
      </x:c>
      <x:c r="I243" s="103" t="e">
        <x:f>IF(AND(174&lt;=$H$10,$H$12="計算可能"),$H$6,NA())</x:f>
        <x:v>#N/A</x:v>
      </x:c>
      <x:c r="J243" s="103" t="e">
        <x:f>IF(AND(174&lt;=$H$10,$H$12="計算可能"),$H$7,NA())</x:f>
        <x:v>#N/A</x:v>
      </x:c>
      <x:c r="K243" s="103" t="e">
        <x:f>IF(AND(174&lt;=$H$10,$H$12="計算可能"),$H$8,NA())</x:f>
        <x:v>#N/A</x:v>
      </x:c>
      <x:c r="L243" s="102" t="e">
        <x:f>IF(174&lt;=$H$10,174,NA())</x:f>
        <x:v>#N/A</x:v>
      </x:c>
      <x:c r="M243" s="103" t="e">
        <x:f>IF(AND(ISNUMBER(C191),$H$12="計算可能"),C191,NA())</x:f>
        <x:v>#N/A</x:v>
      </x:c>
      <x:c r="N243" s="103" t="e">
        <x:f>IF(AND(174&lt;=$H$10,$H$12="計算可能"),$L$6,NA())</x:f>
        <x:v>#N/A</x:v>
      </x:c>
      <x:c r="O243" s="103" t="e">
        <x:f>IF(AND(174&lt;=$H$10,$H$12="計算可能"),$L$7,NA())</x:f>
        <x:v>#N/A</x:v>
      </x:c>
      <x:c r="P243" s="103" t="e">
        <x:f>IF(AND(174&lt;=$H$10,$H$12="計算可能"),$L$8,NA())</x:f>
        <x:v>#N/A</x:v>
      </x:c>
      <x:c r="Q243" s="21"/>
    </x:row>
    <x:row r="244" ht="21" customHeight="1">
      <x:c r="A244" s="21"/>
      <x:c r="B244" s="21"/>
      <x:c r="C244" s="21"/>
      <x:c r="D244" s="21"/>
      <x:c r="E244" s="21"/>
      <x:c r="F244" s="21"/>
      <x:c r="G244" s="102" t="e">
        <x:f>IF(175&lt;=$H$10,175,NA())</x:f>
        <x:v>#N/A</x:v>
      </x:c>
      <x:c r="H244" s="103" t="e">
        <x:f>IF(AND(ISNUMBER(B192),$H$12="計算可能"),B192,NA())</x:f>
        <x:v>#N/A</x:v>
      </x:c>
      <x:c r="I244" s="103" t="e">
        <x:f>IF(AND(175&lt;=$H$10,$H$12="計算可能"),$H$6,NA())</x:f>
        <x:v>#N/A</x:v>
      </x:c>
      <x:c r="J244" s="103" t="e">
        <x:f>IF(AND(175&lt;=$H$10,$H$12="計算可能"),$H$7,NA())</x:f>
        <x:v>#N/A</x:v>
      </x:c>
      <x:c r="K244" s="103" t="e">
        <x:f>IF(AND(175&lt;=$H$10,$H$12="計算可能"),$H$8,NA())</x:f>
        <x:v>#N/A</x:v>
      </x:c>
      <x:c r="L244" s="102" t="e">
        <x:f>IF(175&lt;=$H$10,175,NA())</x:f>
        <x:v>#N/A</x:v>
      </x:c>
      <x:c r="M244" s="103" t="e">
        <x:f>IF(AND(ISNUMBER(C192),$H$12="計算可能"),C192,NA())</x:f>
        <x:v>#N/A</x:v>
      </x:c>
      <x:c r="N244" s="103" t="e">
        <x:f>IF(AND(175&lt;=$H$10,$H$12="計算可能"),$L$6,NA())</x:f>
        <x:v>#N/A</x:v>
      </x:c>
      <x:c r="O244" s="103" t="e">
        <x:f>IF(AND(175&lt;=$H$10,$H$12="計算可能"),$L$7,NA())</x:f>
        <x:v>#N/A</x:v>
      </x:c>
      <x:c r="P244" s="103" t="e">
        <x:f>IF(AND(175&lt;=$H$10,$H$12="計算可能"),$L$8,NA())</x:f>
        <x:v>#N/A</x:v>
      </x:c>
      <x:c r="Q244" s="21"/>
    </x:row>
    <x:row r="245" ht="21" customHeight="1">
      <x:c r="A245" s="21"/>
      <x:c r="B245" s="21"/>
      <x:c r="C245" s="21"/>
      <x:c r="D245" s="21"/>
      <x:c r="E245" s="21"/>
      <x:c r="F245" s="21"/>
      <x:c r="G245" s="102" t="e">
        <x:f>IF(176&lt;=$H$10,176,NA())</x:f>
        <x:v>#N/A</x:v>
      </x:c>
      <x:c r="H245" s="103" t="e">
        <x:f>IF(AND(ISNUMBER(B193),$H$12="計算可能"),B193,NA())</x:f>
        <x:v>#N/A</x:v>
      </x:c>
      <x:c r="I245" s="103" t="e">
        <x:f>IF(AND(176&lt;=$H$10,$H$12="計算可能"),$H$6,NA())</x:f>
        <x:v>#N/A</x:v>
      </x:c>
      <x:c r="J245" s="103" t="e">
        <x:f>IF(AND(176&lt;=$H$10,$H$12="計算可能"),$H$7,NA())</x:f>
        <x:v>#N/A</x:v>
      </x:c>
      <x:c r="K245" s="103" t="e">
        <x:f>IF(AND(176&lt;=$H$10,$H$12="計算可能"),$H$8,NA())</x:f>
        <x:v>#N/A</x:v>
      </x:c>
      <x:c r="L245" s="102" t="e">
        <x:f>IF(176&lt;=$H$10,176,NA())</x:f>
        <x:v>#N/A</x:v>
      </x:c>
      <x:c r="M245" s="103" t="e">
        <x:f>IF(AND(ISNUMBER(C193),$H$12="計算可能"),C193,NA())</x:f>
        <x:v>#N/A</x:v>
      </x:c>
      <x:c r="N245" s="103" t="e">
        <x:f>IF(AND(176&lt;=$H$10,$H$12="計算可能"),$L$6,NA())</x:f>
        <x:v>#N/A</x:v>
      </x:c>
      <x:c r="O245" s="103" t="e">
        <x:f>IF(AND(176&lt;=$H$10,$H$12="計算可能"),$L$7,NA())</x:f>
        <x:v>#N/A</x:v>
      </x:c>
      <x:c r="P245" s="103" t="e">
        <x:f>IF(AND(176&lt;=$H$10,$H$12="計算可能"),$L$8,NA())</x:f>
        <x:v>#N/A</x:v>
      </x:c>
      <x:c r="Q245" s="21"/>
    </x:row>
    <x:row r="246" ht="21" customHeight="1">
      <x:c r="A246" s="21"/>
      <x:c r="B246" s="21"/>
      <x:c r="C246" s="21"/>
      <x:c r="D246" s="21"/>
      <x:c r="E246" s="21"/>
      <x:c r="F246" s="21"/>
      <x:c r="G246" s="102" t="e">
        <x:f>IF(177&lt;=$H$10,177,NA())</x:f>
        <x:v>#N/A</x:v>
      </x:c>
      <x:c r="H246" s="103" t="e">
        <x:f>IF(AND(ISNUMBER(B194),$H$12="計算可能"),B194,NA())</x:f>
        <x:v>#N/A</x:v>
      </x:c>
      <x:c r="I246" s="103" t="e">
        <x:f>IF(AND(177&lt;=$H$10,$H$12="計算可能"),$H$6,NA())</x:f>
        <x:v>#N/A</x:v>
      </x:c>
      <x:c r="J246" s="103" t="e">
        <x:f>IF(AND(177&lt;=$H$10,$H$12="計算可能"),$H$7,NA())</x:f>
        <x:v>#N/A</x:v>
      </x:c>
      <x:c r="K246" s="103" t="e">
        <x:f>IF(AND(177&lt;=$H$10,$H$12="計算可能"),$H$8,NA())</x:f>
        <x:v>#N/A</x:v>
      </x:c>
      <x:c r="L246" s="102" t="e">
        <x:f>IF(177&lt;=$H$10,177,NA())</x:f>
        <x:v>#N/A</x:v>
      </x:c>
      <x:c r="M246" s="103" t="e">
        <x:f>IF(AND(ISNUMBER(C194),$H$12="計算可能"),C194,NA())</x:f>
        <x:v>#N/A</x:v>
      </x:c>
      <x:c r="N246" s="103" t="e">
        <x:f>IF(AND(177&lt;=$H$10,$H$12="計算可能"),$L$6,NA())</x:f>
        <x:v>#N/A</x:v>
      </x:c>
      <x:c r="O246" s="103" t="e">
        <x:f>IF(AND(177&lt;=$H$10,$H$12="計算可能"),$L$7,NA())</x:f>
        <x:v>#N/A</x:v>
      </x:c>
      <x:c r="P246" s="103" t="e">
        <x:f>IF(AND(177&lt;=$H$10,$H$12="計算可能"),$L$8,NA())</x:f>
        <x:v>#N/A</x:v>
      </x:c>
      <x:c r="Q246" s="21"/>
    </x:row>
    <x:row r="247" ht="21" customHeight="1">
      <x:c r="A247" s="21"/>
      <x:c r="B247" s="21"/>
      <x:c r="C247" s="21"/>
      <x:c r="D247" s="21"/>
      <x:c r="E247" s="21"/>
      <x:c r="F247" s="21"/>
      <x:c r="G247" s="102" t="e">
        <x:f>IF(178&lt;=$H$10,178,NA())</x:f>
        <x:v>#N/A</x:v>
      </x:c>
      <x:c r="H247" s="103" t="e">
        <x:f>IF(AND(ISNUMBER(B195),$H$12="計算可能"),B195,NA())</x:f>
        <x:v>#N/A</x:v>
      </x:c>
      <x:c r="I247" s="103" t="e">
        <x:f>IF(AND(178&lt;=$H$10,$H$12="計算可能"),$H$6,NA())</x:f>
        <x:v>#N/A</x:v>
      </x:c>
      <x:c r="J247" s="103" t="e">
        <x:f>IF(AND(178&lt;=$H$10,$H$12="計算可能"),$H$7,NA())</x:f>
        <x:v>#N/A</x:v>
      </x:c>
      <x:c r="K247" s="103" t="e">
        <x:f>IF(AND(178&lt;=$H$10,$H$12="計算可能"),$H$8,NA())</x:f>
        <x:v>#N/A</x:v>
      </x:c>
      <x:c r="L247" s="102" t="e">
        <x:f>IF(178&lt;=$H$10,178,NA())</x:f>
        <x:v>#N/A</x:v>
      </x:c>
      <x:c r="M247" s="103" t="e">
        <x:f>IF(AND(ISNUMBER(C195),$H$12="計算可能"),C195,NA())</x:f>
        <x:v>#N/A</x:v>
      </x:c>
      <x:c r="N247" s="103" t="e">
        <x:f>IF(AND(178&lt;=$H$10,$H$12="計算可能"),$L$6,NA())</x:f>
        <x:v>#N/A</x:v>
      </x:c>
      <x:c r="O247" s="103" t="e">
        <x:f>IF(AND(178&lt;=$H$10,$H$12="計算可能"),$L$7,NA())</x:f>
        <x:v>#N/A</x:v>
      </x:c>
      <x:c r="P247" s="103" t="e">
        <x:f>IF(AND(178&lt;=$H$10,$H$12="計算可能"),$L$8,NA())</x:f>
        <x:v>#N/A</x:v>
      </x:c>
      <x:c r="Q247" s="21"/>
    </x:row>
    <x:row r="248" ht="21" customHeight="1">
      <x:c r="A248" s="21"/>
      <x:c r="B248" s="21"/>
      <x:c r="C248" s="21"/>
      <x:c r="D248" s="21"/>
      <x:c r="E248" s="21"/>
      <x:c r="F248" s="21"/>
      <x:c r="G248" s="102" t="e">
        <x:f>IF(179&lt;=$H$10,179,NA())</x:f>
        <x:v>#N/A</x:v>
      </x:c>
      <x:c r="H248" s="103" t="e">
        <x:f>IF(AND(ISNUMBER(B196),$H$12="計算可能"),B196,NA())</x:f>
        <x:v>#N/A</x:v>
      </x:c>
      <x:c r="I248" s="103" t="e">
        <x:f>IF(AND(179&lt;=$H$10,$H$12="計算可能"),$H$6,NA())</x:f>
        <x:v>#N/A</x:v>
      </x:c>
      <x:c r="J248" s="103" t="e">
        <x:f>IF(AND(179&lt;=$H$10,$H$12="計算可能"),$H$7,NA())</x:f>
        <x:v>#N/A</x:v>
      </x:c>
      <x:c r="K248" s="103" t="e">
        <x:f>IF(AND(179&lt;=$H$10,$H$12="計算可能"),$H$8,NA())</x:f>
        <x:v>#N/A</x:v>
      </x:c>
      <x:c r="L248" s="102" t="e">
        <x:f>IF(179&lt;=$H$10,179,NA())</x:f>
        <x:v>#N/A</x:v>
      </x:c>
      <x:c r="M248" s="103" t="e">
        <x:f>IF(AND(ISNUMBER(C196),$H$12="計算可能"),C196,NA())</x:f>
        <x:v>#N/A</x:v>
      </x:c>
      <x:c r="N248" s="103" t="e">
        <x:f>IF(AND(179&lt;=$H$10,$H$12="計算可能"),$L$6,NA())</x:f>
        <x:v>#N/A</x:v>
      </x:c>
      <x:c r="O248" s="103" t="e">
        <x:f>IF(AND(179&lt;=$H$10,$H$12="計算可能"),$L$7,NA())</x:f>
        <x:v>#N/A</x:v>
      </x:c>
      <x:c r="P248" s="103" t="e">
        <x:f>IF(AND(179&lt;=$H$10,$H$12="計算可能"),$L$8,NA())</x:f>
        <x:v>#N/A</x:v>
      </x:c>
      <x:c r="Q248" s="21"/>
    </x:row>
    <x:row r="249" ht="21" customHeight="1">
      <x:c r="A249" s="21"/>
      <x:c r="B249" s="21"/>
      <x:c r="C249" s="21"/>
      <x:c r="D249" s="21"/>
      <x:c r="E249" s="21"/>
      <x:c r="F249" s="21"/>
      <x:c r="G249" s="102" t="e">
        <x:f>IF(180&lt;=$H$10,180,NA())</x:f>
        <x:v>#N/A</x:v>
      </x:c>
      <x:c r="H249" s="103" t="e">
        <x:f>IF(AND(ISNUMBER(B197),$H$12="計算可能"),B197,NA())</x:f>
        <x:v>#N/A</x:v>
      </x:c>
      <x:c r="I249" s="103" t="e">
        <x:f>IF(AND(180&lt;=$H$10,$H$12="計算可能"),$H$6,NA())</x:f>
        <x:v>#N/A</x:v>
      </x:c>
      <x:c r="J249" s="103" t="e">
        <x:f>IF(AND(180&lt;=$H$10,$H$12="計算可能"),$H$7,NA())</x:f>
        <x:v>#N/A</x:v>
      </x:c>
      <x:c r="K249" s="103" t="e">
        <x:f>IF(AND(180&lt;=$H$10,$H$12="計算可能"),$H$8,NA())</x:f>
        <x:v>#N/A</x:v>
      </x:c>
      <x:c r="L249" s="102" t="e">
        <x:f>IF(180&lt;=$H$10,180,NA())</x:f>
        <x:v>#N/A</x:v>
      </x:c>
      <x:c r="M249" s="103" t="e">
        <x:f>IF(AND(ISNUMBER(C197),$H$12="計算可能"),C197,NA())</x:f>
        <x:v>#N/A</x:v>
      </x:c>
      <x:c r="N249" s="103" t="e">
        <x:f>IF(AND(180&lt;=$H$10,$H$12="計算可能"),$L$6,NA())</x:f>
        <x:v>#N/A</x:v>
      </x:c>
      <x:c r="O249" s="103" t="e">
        <x:f>IF(AND(180&lt;=$H$10,$H$12="計算可能"),$L$7,NA())</x:f>
        <x:v>#N/A</x:v>
      </x:c>
      <x:c r="P249" s="103" t="e">
        <x:f>IF(AND(180&lt;=$H$10,$H$12="計算可能"),$L$8,NA())</x:f>
        <x:v>#N/A</x:v>
      </x:c>
      <x:c r="Q249" s="21"/>
    </x:row>
    <x:row r="250" ht="21" customHeight="1">
      <x:c r="A250" s="21"/>
      <x:c r="B250" s="21"/>
      <x:c r="C250" s="21"/>
      <x:c r="D250" s="21"/>
      <x:c r="E250" s="21"/>
      <x:c r="F250" s="21"/>
      <x:c r="G250" s="102" t="e">
        <x:f>IF(181&lt;=$H$10,181,NA())</x:f>
        <x:v>#N/A</x:v>
      </x:c>
      <x:c r="H250" s="103" t="e">
        <x:f>IF(AND(ISNUMBER(B198),$H$12="計算可能"),B198,NA())</x:f>
        <x:v>#N/A</x:v>
      </x:c>
      <x:c r="I250" s="103" t="e">
        <x:f>IF(AND(181&lt;=$H$10,$H$12="計算可能"),$H$6,NA())</x:f>
        <x:v>#N/A</x:v>
      </x:c>
      <x:c r="J250" s="103" t="e">
        <x:f>IF(AND(181&lt;=$H$10,$H$12="計算可能"),$H$7,NA())</x:f>
        <x:v>#N/A</x:v>
      </x:c>
      <x:c r="K250" s="103" t="e">
        <x:f>IF(AND(181&lt;=$H$10,$H$12="計算可能"),$H$8,NA())</x:f>
        <x:v>#N/A</x:v>
      </x:c>
      <x:c r="L250" s="102" t="e">
        <x:f>IF(181&lt;=$H$10,181,NA())</x:f>
        <x:v>#N/A</x:v>
      </x:c>
      <x:c r="M250" s="103" t="e">
        <x:f>IF(AND(ISNUMBER(C198),$H$12="計算可能"),C198,NA())</x:f>
        <x:v>#N/A</x:v>
      </x:c>
      <x:c r="N250" s="103" t="e">
        <x:f>IF(AND(181&lt;=$H$10,$H$12="計算可能"),$L$6,NA())</x:f>
        <x:v>#N/A</x:v>
      </x:c>
      <x:c r="O250" s="103" t="e">
        <x:f>IF(AND(181&lt;=$H$10,$H$12="計算可能"),$L$7,NA())</x:f>
        <x:v>#N/A</x:v>
      </x:c>
      <x:c r="P250" s="103" t="e">
        <x:f>IF(AND(181&lt;=$H$10,$H$12="計算可能"),$L$8,NA())</x:f>
        <x:v>#N/A</x:v>
      </x:c>
      <x:c r="Q250" s="21"/>
    </x:row>
    <x:row r="251" ht="21" customHeight="1">
      <x:c r="A251" s="21"/>
      <x:c r="B251" s="21"/>
      <x:c r="C251" s="21"/>
      <x:c r="D251" s="21"/>
      <x:c r="E251" s="21"/>
      <x:c r="F251" s="21"/>
      <x:c r="G251" s="102" t="e">
        <x:f>IF(182&lt;=$H$10,182,NA())</x:f>
        <x:v>#N/A</x:v>
      </x:c>
      <x:c r="H251" s="103" t="e">
        <x:f>IF(AND(ISNUMBER(B199),$H$12="計算可能"),B199,NA())</x:f>
        <x:v>#N/A</x:v>
      </x:c>
      <x:c r="I251" s="103" t="e">
        <x:f>IF(AND(182&lt;=$H$10,$H$12="計算可能"),$H$6,NA())</x:f>
        <x:v>#N/A</x:v>
      </x:c>
      <x:c r="J251" s="103" t="e">
        <x:f>IF(AND(182&lt;=$H$10,$H$12="計算可能"),$H$7,NA())</x:f>
        <x:v>#N/A</x:v>
      </x:c>
      <x:c r="K251" s="103" t="e">
        <x:f>IF(AND(182&lt;=$H$10,$H$12="計算可能"),$H$8,NA())</x:f>
        <x:v>#N/A</x:v>
      </x:c>
      <x:c r="L251" s="102" t="e">
        <x:f>IF(182&lt;=$H$10,182,NA())</x:f>
        <x:v>#N/A</x:v>
      </x:c>
      <x:c r="M251" s="103" t="e">
        <x:f>IF(AND(ISNUMBER(C199),$H$12="計算可能"),C199,NA())</x:f>
        <x:v>#N/A</x:v>
      </x:c>
      <x:c r="N251" s="103" t="e">
        <x:f>IF(AND(182&lt;=$H$10,$H$12="計算可能"),$L$6,NA())</x:f>
        <x:v>#N/A</x:v>
      </x:c>
      <x:c r="O251" s="103" t="e">
        <x:f>IF(AND(182&lt;=$H$10,$H$12="計算可能"),$L$7,NA())</x:f>
        <x:v>#N/A</x:v>
      </x:c>
      <x:c r="P251" s="103" t="e">
        <x:f>IF(AND(182&lt;=$H$10,$H$12="計算可能"),$L$8,NA())</x:f>
        <x:v>#N/A</x:v>
      </x:c>
      <x:c r="Q251" s="21"/>
    </x:row>
    <x:row r="252" ht="21" customHeight="1">
      <x:c r="A252" s="21"/>
      <x:c r="B252" s="21"/>
      <x:c r="C252" s="21"/>
      <x:c r="D252" s="21"/>
      <x:c r="E252" s="21"/>
      <x:c r="F252" s="21"/>
      <x:c r="G252" s="102" t="e">
        <x:f>IF(183&lt;=$H$10,183,NA())</x:f>
        <x:v>#N/A</x:v>
      </x:c>
      <x:c r="H252" s="103" t="e">
        <x:f>IF(AND(ISNUMBER(B200),$H$12="計算可能"),B200,NA())</x:f>
        <x:v>#N/A</x:v>
      </x:c>
      <x:c r="I252" s="103" t="e">
        <x:f>IF(AND(183&lt;=$H$10,$H$12="計算可能"),$H$6,NA())</x:f>
        <x:v>#N/A</x:v>
      </x:c>
      <x:c r="J252" s="103" t="e">
        <x:f>IF(AND(183&lt;=$H$10,$H$12="計算可能"),$H$7,NA())</x:f>
        <x:v>#N/A</x:v>
      </x:c>
      <x:c r="K252" s="103" t="e">
        <x:f>IF(AND(183&lt;=$H$10,$H$12="計算可能"),$H$8,NA())</x:f>
        <x:v>#N/A</x:v>
      </x:c>
      <x:c r="L252" s="102" t="e">
        <x:f>IF(183&lt;=$H$10,183,NA())</x:f>
        <x:v>#N/A</x:v>
      </x:c>
      <x:c r="M252" s="103" t="e">
        <x:f>IF(AND(ISNUMBER(C200),$H$12="計算可能"),C200,NA())</x:f>
        <x:v>#N/A</x:v>
      </x:c>
      <x:c r="N252" s="103" t="e">
        <x:f>IF(AND(183&lt;=$H$10,$H$12="計算可能"),$L$6,NA())</x:f>
        <x:v>#N/A</x:v>
      </x:c>
      <x:c r="O252" s="103" t="e">
        <x:f>IF(AND(183&lt;=$H$10,$H$12="計算可能"),$L$7,NA())</x:f>
        <x:v>#N/A</x:v>
      </x:c>
      <x:c r="P252" s="103" t="e">
        <x:f>IF(AND(183&lt;=$H$10,$H$12="計算可能"),$L$8,NA())</x:f>
        <x:v>#N/A</x:v>
      </x:c>
      <x:c r="Q252" s="21"/>
    </x:row>
    <x:row r="253" ht="21" customHeight="1">
      <x:c r="A253" s="21"/>
      <x:c r="B253" s="21"/>
      <x:c r="C253" s="21"/>
      <x:c r="D253" s="21"/>
      <x:c r="E253" s="21"/>
      <x:c r="F253" s="21"/>
      <x:c r="G253" s="102" t="e">
        <x:f>IF(184&lt;=$H$10,184,NA())</x:f>
        <x:v>#N/A</x:v>
      </x:c>
      <x:c r="H253" s="103" t="e">
        <x:f>IF(AND(ISNUMBER(B201),$H$12="計算可能"),B201,NA())</x:f>
        <x:v>#N/A</x:v>
      </x:c>
      <x:c r="I253" s="103" t="e">
        <x:f>IF(AND(184&lt;=$H$10,$H$12="計算可能"),$H$6,NA())</x:f>
        <x:v>#N/A</x:v>
      </x:c>
      <x:c r="J253" s="103" t="e">
        <x:f>IF(AND(184&lt;=$H$10,$H$12="計算可能"),$H$7,NA())</x:f>
        <x:v>#N/A</x:v>
      </x:c>
      <x:c r="K253" s="103" t="e">
        <x:f>IF(AND(184&lt;=$H$10,$H$12="計算可能"),$H$8,NA())</x:f>
        <x:v>#N/A</x:v>
      </x:c>
      <x:c r="L253" s="102" t="e">
        <x:f>IF(184&lt;=$H$10,184,NA())</x:f>
        <x:v>#N/A</x:v>
      </x:c>
      <x:c r="M253" s="103" t="e">
        <x:f>IF(AND(ISNUMBER(C201),$H$12="計算可能"),C201,NA())</x:f>
        <x:v>#N/A</x:v>
      </x:c>
      <x:c r="N253" s="103" t="e">
        <x:f>IF(AND(184&lt;=$H$10,$H$12="計算可能"),$L$6,NA())</x:f>
        <x:v>#N/A</x:v>
      </x:c>
      <x:c r="O253" s="103" t="e">
        <x:f>IF(AND(184&lt;=$H$10,$H$12="計算可能"),$L$7,NA())</x:f>
        <x:v>#N/A</x:v>
      </x:c>
      <x:c r="P253" s="103" t="e">
        <x:f>IF(AND(184&lt;=$H$10,$H$12="計算可能"),$L$8,NA())</x:f>
        <x:v>#N/A</x:v>
      </x:c>
      <x:c r="Q253" s="21"/>
    </x:row>
    <x:row r="254" ht="21" customHeight="1">
      <x:c r="A254" s="21"/>
      <x:c r="B254" s="21"/>
      <x:c r="C254" s="21"/>
      <x:c r="D254" s="21"/>
      <x:c r="E254" s="21"/>
      <x:c r="F254" s="21"/>
      <x:c r="G254" s="102" t="e">
        <x:f>IF(185&lt;=$H$10,185,NA())</x:f>
        <x:v>#N/A</x:v>
      </x:c>
      <x:c r="H254" s="103" t="e">
        <x:f>IF(AND(ISNUMBER(B202),$H$12="計算可能"),B202,NA())</x:f>
        <x:v>#N/A</x:v>
      </x:c>
      <x:c r="I254" s="103" t="e">
        <x:f>IF(AND(185&lt;=$H$10,$H$12="計算可能"),$H$6,NA())</x:f>
        <x:v>#N/A</x:v>
      </x:c>
      <x:c r="J254" s="103" t="e">
        <x:f>IF(AND(185&lt;=$H$10,$H$12="計算可能"),$H$7,NA())</x:f>
        <x:v>#N/A</x:v>
      </x:c>
      <x:c r="K254" s="103" t="e">
        <x:f>IF(AND(185&lt;=$H$10,$H$12="計算可能"),$H$8,NA())</x:f>
        <x:v>#N/A</x:v>
      </x:c>
      <x:c r="L254" s="102" t="e">
        <x:f>IF(185&lt;=$H$10,185,NA())</x:f>
        <x:v>#N/A</x:v>
      </x:c>
      <x:c r="M254" s="103" t="e">
        <x:f>IF(AND(ISNUMBER(C202),$H$12="計算可能"),C202,NA())</x:f>
        <x:v>#N/A</x:v>
      </x:c>
      <x:c r="N254" s="103" t="e">
        <x:f>IF(AND(185&lt;=$H$10,$H$12="計算可能"),$L$6,NA())</x:f>
        <x:v>#N/A</x:v>
      </x:c>
      <x:c r="O254" s="103" t="e">
        <x:f>IF(AND(185&lt;=$H$10,$H$12="計算可能"),$L$7,NA())</x:f>
        <x:v>#N/A</x:v>
      </x:c>
      <x:c r="P254" s="103" t="e">
        <x:f>IF(AND(185&lt;=$H$10,$H$12="計算可能"),$L$8,NA())</x:f>
        <x:v>#N/A</x:v>
      </x:c>
      <x:c r="Q254" s="21"/>
    </x:row>
    <x:row r="255" ht="21" customHeight="1">
      <x:c r="A255" s="21"/>
      <x:c r="B255" s="21"/>
      <x:c r="C255" s="21"/>
      <x:c r="D255" s="21"/>
      <x:c r="E255" s="21"/>
      <x:c r="F255" s="21"/>
      <x:c r="G255" s="102" t="e">
        <x:f>IF(186&lt;=$H$10,186,NA())</x:f>
        <x:v>#N/A</x:v>
      </x:c>
      <x:c r="H255" s="103" t="e">
        <x:f>IF(AND(ISNUMBER(B203),$H$12="計算可能"),B203,NA())</x:f>
        <x:v>#N/A</x:v>
      </x:c>
      <x:c r="I255" s="103" t="e">
        <x:f>IF(AND(186&lt;=$H$10,$H$12="計算可能"),$H$6,NA())</x:f>
        <x:v>#N/A</x:v>
      </x:c>
      <x:c r="J255" s="103" t="e">
        <x:f>IF(AND(186&lt;=$H$10,$H$12="計算可能"),$H$7,NA())</x:f>
        <x:v>#N/A</x:v>
      </x:c>
      <x:c r="K255" s="103" t="e">
        <x:f>IF(AND(186&lt;=$H$10,$H$12="計算可能"),$H$8,NA())</x:f>
        <x:v>#N/A</x:v>
      </x:c>
      <x:c r="L255" s="102" t="e">
        <x:f>IF(186&lt;=$H$10,186,NA())</x:f>
        <x:v>#N/A</x:v>
      </x:c>
      <x:c r="M255" s="103" t="e">
        <x:f>IF(AND(ISNUMBER(C203),$H$12="計算可能"),C203,NA())</x:f>
        <x:v>#N/A</x:v>
      </x:c>
      <x:c r="N255" s="103" t="e">
        <x:f>IF(AND(186&lt;=$H$10,$H$12="計算可能"),$L$6,NA())</x:f>
        <x:v>#N/A</x:v>
      </x:c>
      <x:c r="O255" s="103" t="e">
        <x:f>IF(AND(186&lt;=$H$10,$H$12="計算可能"),$L$7,NA())</x:f>
        <x:v>#N/A</x:v>
      </x:c>
      <x:c r="P255" s="103" t="e">
        <x:f>IF(AND(186&lt;=$H$10,$H$12="計算可能"),$L$8,NA())</x:f>
        <x:v>#N/A</x:v>
      </x:c>
      <x:c r="Q255" s="21"/>
    </x:row>
    <x:row r="256" ht="21" customHeight="1">
      <x:c r="A256" s="21"/>
      <x:c r="B256" s="21"/>
      <x:c r="C256" s="21"/>
      <x:c r="D256" s="21"/>
      <x:c r="E256" s="21"/>
      <x:c r="F256" s="21"/>
      <x:c r="G256" s="102" t="e">
        <x:f>IF(187&lt;=$H$10,187,NA())</x:f>
        <x:v>#N/A</x:v>
      </x:c>
      <x:c r="H256" s="103" t="e">
        <x:f>IF(AND(ISNUMBER(B204),$H$12="計算可能"),B204,NA())</x:f>
        <x:v>#N/A</x:v>
      </x:c>
      <x:c r="I256" s="103" t="e">
        <x:f>IF(AND(187&lt;=$H$10,$H$12="計算可能"),$H$6,NA())</x:f>
        <x:v>#N/A</x:v>
      </x:c>
      <x:c r="J256" s="103" t="e">
        <x:f>IF(AND(187&lt;=$H$10,$H$12="計算可能"),$H$7,NA())</x:f>
        <x:v>#N/A</x:v>
      </x:c>
      <x:c r="K256" s="103" t="e">
        <x:f>IF(AND(187&lt;=$H$10,$H$12="計算可能"),$H$8,NA())</x:f>
        <x:v>#N/A</x:v>
      </x:c>
      <x:c r="L256" s="102" t="e">
        <x:f>IF(187&lt;=$H$10,187,NA())</x:f>
        <x:v>#N/A</x:v>
      </x:c>
      <x:c r="M256" s="103" t="e">
        <x:f>IF(AND(ISNUMBER(C204),$H$12="計算可能"),C204,NA())</x:f>
        <x:v>#N/A</x:v>
      </x:c>
      <x:c r="N256" s="103" t="e">
        <x:f>IF(AND(187&lt;=$H$10,$H$12="計算可能"),$L$6,NA())</x:f>
        <x:v>#N/A</x:v>
      </x:c>
      <x:c r="O256" s="103" t="e">
        <x:f>IF(AND(187&lt;=$H$10,$H$12="計算可能"),$L$7,NA())</x:f>
        <x:v>#N/A</x:v>
      </x:c>
      <x:c r="P256" s="103" t="e">
        <x:f>IF(AND(187&lt;=$H$10,$H$12="計算可能"),$L$8,NA())</x:f>
        <x:v>#N/A</x:v>
      </x:c>
      <x:c r="Q256" s="21"/>
    </x:row>
    <x:row r="257" ht="21" customHeight="1">
      <x:c r="A257" s="21"/>
      <x:c r="B257" s="21"/>
      <x:c r="C257" s="21"/>
      <x:c r="D257" s="21"/>
      <x:c r="E257" s="21"/>
      <x:c r="F257" s="21"/>
      <x:c r="G257" s="102" t="e">
        <x:f>IF(188&lt;=$H$10,188,NA())</x:f>
        <x:v>#N/A</x:v>
      </x:c>
      <x:c r="H257" s="103" t="e">
        <x:f>IF(AND(ISNUMBER(B205),$H$12="計算可能"),B205,NA())</x:f>
        <x:v>#N/A</x:v>
      </x:c>
      <x:c r="I257" s="103" t="e">
        <x:f>IF(AND(188&lt;=$H$10,$H$12="計算可能"),$H$6,NA())</x:f>
        <x:v>#N/A</x:v>
      </x:c>
      <x:c r="J257" s="103" t="e">
        <x:f>IF(AND(188&lt;=$H$10,$H$12="計算可能"),$H$7,NA())</x:f>
        <x:v>#N/A</x:v>
      </x:c>
      <x:c r="K257" s="103" t="e">
        <x:f>IF(AND(188&lt;=$H$10,$H$12="計算可能"),$H$8,NA())</x:f>
        <x:v>#N/A</x:v>
      </x:c>
      <x:c r="L257" s="102" t="e">
        <x:f>IF(188&lt;=$H$10,188,NA())</x:f>
        <x:v>#N/A</x:v>
      </x:c>
      <x:c r="M257" s="103" t="e">
        <x:f>IF(AND(ISNUMBER(C205),$H$12="計算可能"),C205,NA())</x:f>
        <x:v>#N/A</x:v>
      </x:c>
      <x:c r="N257" s="103" t="e">
        <x:f>IF(AND(188&lt;=$H$10,$H$12="計算可能"),$L$6,NA())</x:f>
        <x:v>#N/A</x:v>
      </x:c>
      <x:c r="O257" s="103" t="e">
        <x:f>IF(AND(188&lt;=$H$10,$H$12="計算可能"),$L$7,NA())</x:f>
        <x:v>#N/A</x:v>
      </x:c>
      <x:c r="P257" s="103" t="e">
        <x:f>IF(AND(188&lt;=$H$10,$H$12="計算可能"),$L$8,NA())</x:f>
        <x:v>#N/A</x:v>
      </x:c>
      <x:c r="Q257" s="21"/>
    </x:row>
    <x:row r="258" ht="21" customHeight="1">
      <x:c r="A258" s="21"/>
      <x:c r="B258" s="21"/>
      <x:c r="C258" s="21"/>
      <x:c r="D258" s="21"/>
      <x:c r="E258" s="21"/>
      <x:c r="F258" s="21"/>
      <x:c r="G258" s="102" t="e">
        <x:f>IF(189&lt;=$H$10,189,NA())</x:f>
        <x:v>#N/A</x:v>
      </x:c>
      <x:c r="H258" s="103" t="e">
        <x:f>IF(AND(ISNUMBER(B206),$H$12="計算可能"),B206,NA())</x:f>
        <x:v>#N/A</x:v>
      </x:c>
      <x:c r="I258" s="103" t="e">
        <x:f>IF(AND(189&lt;=$H$10,$H$12="計算可能"),$H$6,NA())</x:f>
        <x:v>#N/A</x:v>
      </x:c>
      <x:c r="J258" s="103" t="e">
        <x:f>IF(AND(189&lt;=$H$10,$H$12="計算可能"),$H$7,NA())</x:f>
        <x:v>#N/A</x:v>
      </x:c>
      <x:c r="K258" s="103" t="e">
        <x:f>IF(AND(189&lt;=$H$10,$H$12="計算可能"),$H$8,NA())</x:f>
        <x:v>#N/A</x:v>
      </x:c>
      <x:c r="L258" s="102" t="e">
        <x:f>IF(189&lt;=$H$10,189,NA())</x:f>
        <x:v>#N/A</x:v>
      </x:c>
      <x:c r="M258" s="103" t="e">
        <x:f>IF(AND(ISNUMBER(C206),$H$12="計算可能"),C206,NA())</x:f>
        <x:v>#N/A</x:v>
      </x:c>
      <x:c r="N258" s="103" t="e">
        <x:f>IF(AND(189&lt;=$H$10,$H$12="計算可能"),$L$6,NA())</x:f>
        <x:v>#N/A</x:v>
      </x:c>
      <x:c r="O258" s="103" t="e">
        <x:f>IF(AND(189&lt;=$H$10,$H$12="計算可能"),$L$7,NA())</x:f>
        <x:v>#N/A</x:v>
      </x:c>
      <x:c r="P258" s="103" t="e">
        <x:f>IF(AND(189&lt;=$H$10,$H$12="計算可能"),$L$8,NA())</x:f>
        <x:v>#N/A</x:v>
      </x:c>
      <x:c r="Q258" s="21"/>
    </x:row>
    <x:row r="259" ht="21" customHeight="1">
      <x:c r="A259" s="21"/>
      <x:c r="B259" s="21"/>
      <x:c r="C259" s="21"/>
      <x:c r="D259" s="21"/>
      <x:c r="E259" s="21"/>
      <x:c r="F259" s="21"/>
      <x:c r="G259" s="102" t="e">
        <x:f>IF(190&lt;=$H$10,190,NA())</x:f>
        <x:v>#N/A</x:v>
      </x:c>
      <x:c r="H259" s="103" t="e">
        <x:f>IF(AND(ISNUMBER(B207),$H$12="計算可能"),B207,NA())</x:f>
        <x:v>#N/A</x:v>
      </x:c>
      <x:c r="I259" s="103" t="e">
        <x:f>IF(AND(190&lt;=$H$10,$H$12="計算可能"),$H$6,NA())</x:f>
        <x:v>#N/A</x:v>
      </x:c>
      <x:c r="J259" s="103" t="e">
        <x:f>IF(AND(190&lt;=$H$10,$H$12="計算可能"),$H$7,NA())</x:f>
        <x:v>#N/A</x:v>
      </x:c>
      <x:c r="K259" s="103" t="e">
        <x:f>IF(AND(190&lt;=$H$10,$H$12="計算可能"),$H$8,NA())</x:f>
        <x:v>#N/A</x:v>
      </x:c>
      <x:c r="L259" s="102" t="e">
        <x:f>IF(190&lt;=$H$10,190,NA())</x:f>
        <x:v>#N/A</x:v>
      </x:c>
      <x:c r="M259" s="103" t="e">
        <x:f>IF(AND(ISNUMBER(C207),$H$12="計算可能"),C207,NA())</x:f>
        <x:v>#N/A</x:v>
      </x:c>
      <x:c r="N259" s="103" t="e">
        <x:f>IF(AND(190&lt;=$H$10,$H$12="計算可能"),$L$6,NA())</x:f>
        <x:v>#N/A</x:v>
      </x:c>
      <x:c r="O259" s="103" t="e">
        <x:f>IF(AND(190&lt;=$H$10,$H$12="計算可能"),$L$7,NA())</x:f>
        <x:v>#N/A</x:v>
      </x:c>
      <x:c r="P259" s="103" t="e">
        <x:f>IF(AND(190&lt;=$H$10,$H$12="計算可能"),$L$8,NA())</x:f>
        <x:v>#N/A</x:v>
      </x:c>
      <x:c r="Q259" s="21"/>
    </x:row>
    <x:row r="260" ht="21" customHeight="1">
      <x:c r="A260" s="21"/>
      <x:c r="B260" s="21"/>
      <x:c r="C260" s="21"/>
      <x:c r="D260" s="21"/>
      <x:c r="E260" s="21"/>
      <x:c r="F260" s="21"/>
      <x:c r="G260" s="102" t="e">
        <x:f>IF(191&lt;=$H$10,191,NA())</x:f>
        <x:v>#N/A</x:v>
      </x:c>
      <x:c r="H260" s="103" t="e">
        <x:f>IF(AND(ISNUMBER(B208),$H$12="計算可能"),B208,NA())</x:f>
        <x:v>#N/A</x:v>
      </x:c>
      <x:c r="I260" s="103" t="e">
        <x:f>IF(AND(191&lt;=$H$10,$H$12="計算可能"),$H$6,NA())</x:f>
        <x:v>#N/A</x:v>
      </x:c>
      <x:c r="J260" s="103" t="e">
        <x:f>IF(AND(191&lt;=$H$10,$H$12="計算可能"),$H$7,NA())</x:f>
        <x:v>#N/A</x:v>
      </x:c>
      <x:c r="K260" s="103" t="e">
        <x:f>IF(AND(191&lt;=$H$10,$H$12="計算可能"),$H$8,NA())</x:f>
        <x:v>#N/A</x:v>
      </x:c>
      <x:c r="L260" s="102" t="e">
        <x:f>IF(191&lt;=$H$10,191,NA())</x:f>
        <x:v>#N/A</x:v>
      </x:c>
      <x:c r="M260" s="103" t="e">
        <x:f>IF(AND(ISNUMBER(C208),$H$12="計算可能"),C208,NA())</x:f>
        <x:v>#N/A</x:v>
      </x:c>
      <x:c r="N260" s="103" t="e">
        <x:f>IF(AND(191&lt;=$H$10,$H$12="計算可能"),$L$6,NA())</x:f>
        <x:v>#N/A</x:v>
      </x:c>
      <x:c r="O260" s="103" t="e">
        <x:f>IF(AND(191&lt;=$H$10,$H$12="計算可能"),$L$7,NA())</x:f>
        <x:v>#N/A</x:v>
      </x:c>
      <x:c r="P260" s="103" t="e">
        <x:f>IF(AND(191&lt;=$H$10,$H$12="計算可能"),$L$8,NA())</x:f>
        <x:v>#N/A</x:v>
      </x:c>
      <x:c r="Q260" s="21"/>
    </x:row>
    <x:row r="261" ht="21" customHeight="1">
      <x:c r="A261" s="21"/>
      <x:c r="B261" s="21"/>
      <x:c r="C261" s="21"/>
      <x:c r="D261" s="21"/>
      <x:c r="E261" s="21"/>
      <x:c r="F261" s="21"/>
      <x:c r="G261" s="102" t="e">
        <x:f>IF(192&lt;=$H$10,192,NA())</x:f>
        <x:v>#N/A</x:v>
      </x:c>
      <x:c r="H261" s="103" t="e">
        <x:f>IF(AND(ISNUMBER(B209),$H$12="計算可能"),B209,NA())</x:f>
        <x:v>#N/A</x:v>
      </x:c>
      <x:c r="I261" s="103" t="e">
        <x:f>IF(AND(192&lt;=$H$10,$H$12="計算可能"),$H$6,NA())</x:f>
        <x:v>#N/A</x:v>
      </x:c>
      <x:c r="J261" s="103" t="e">
        <x:f>IF(AND(192&lt;=$H$10,$H$12="計算可能"),$H$7,NA())</x:f>
        <x:v>#N/A</x:v>
      </x:c>
      <x:c r="K261" s="103" t="e">
        <x:f>IF(AND(192&lt;=$H$10,$H$12="計算可能"),$H$8,NA())</x:f>
        <x:v>#N/A</x:v>
      </x:c>
      <x:c r="L261" s="102" t="e">
        <x:f>IF(192&lt;=$H$10,192,NA())</x:f>
        <x:v>#N/A</x:v>
      </x:c>
      <x:c r="M261" s="103" t="e">
        <x:f>IF(AND(ISNUMBER(C209),$H$12="計算可能"),C209,NA())</x:f>
        <x:v>#N/A</x:v>
      </x:c>
      <x:c r="N261" s="103" t="e">
        <x:f>IF(AND(192&lt;=$H$10,$H$12="計算可能"),$L$6,NA())</x:f>
        <x:v>#N/A</x:v>
      </x:c>
      <x:c r="O261" s="103" t="e">
        <x:f>IF(AND(192&lt;=$H$10,$H$12="計算可能"),$L$7,NA())</x:f>
        <x:v>#N/A</x:v>
      </x:c>
      <x:c r="P261" s="103" t="e">
        <x:f>IF(AND(192&lt;=$H$10,$H$12="計算可能"),$L$8,NA())</x:f>
        <x:v>#N/A</x:v>
      </x:c>
      <x:c r="Q261" s="21"/>
    </x:row>
    <x:row r="262" ht="21" customHeight="1">
      <x:c r="A262" s="21"/>
      <x:c r="B262" s="21"/>
      <x:c r="C262" s="21"/>
      <x:c r="D262" s="21"/>
      <x:c r="E262" s="21"/>
      <x:c r="F262" s="21"/>
      <x:c r="G262" s="102" t="e">
        <x:f>IF(193&lt;=$H$10,193,NA())</x:f>
        <x:v>#N/A</x:v>
      </x:c>
      <x:c r="H262" s="103" t="e">
        <x:f>IF(AND(ISNUMBER(B210),$H$12="計算可能"),B210,NA())</x:f>
        <x:v>#N/A</x:v>
      </x:c>
      <x:c r="I262" s="103" t="e">
        <x:f>IF(AND(193&lt;=$H$10,$H$12="計算可能"),$H$6,NA())</x:f>
        <x:v>#N/A</x:v>
      </x:c>
      <x:c r="J262" s="103" t="e">
        <x:f>IF(AND(193&lt;=$H$10,$H$12="計算可能"),$H$7,NA())</x:f>
        <x:v>#N/A</x:v>
      </x:c>
      <x:c r="K262" s="103" t="e">
        <x:f>IF(AND(193&lt;=$H$10,$H$12="計算可能"),$H$8,NA())</x:f>
        <x:v>#N/A</x:v>
      </x:c>
      <x:c r="L262" s="102" t="e">
        <x:f>IF(193&lt;=$H$10,193,NA())</x:f>
        <x:v>#N/A</x:v>
      </x:c>
      <x:c r="M262" s="103" t="e">
        <x:f>IF(AND(ISNUMBER(C210),$H$12="計算可能"),C210,NA())</x:f>
        <x:v>#N/A</x:v>
      </x:c>
      <x:c r="N262" s="103" t="e">
        <x:f>IF(AND(193&lt;=$H$10,$H$12="計算可能"),$L$6,NA())</x:f>
        <x:v>#N/A</x:v>
      </x:c>
      <x:c r="O262" s="103" t="e">
        <x:f>IF(AND(193&lt;=$H$10,$H$12="計算可能"),$L$7,NA())</x:f>
        <x:v>#N/A</x:v>
      </x:c>
      <x:c r="P262" s="103" t="e">
        <x:f>IF(AND(193&lt;=$H$10,$H$12="計算可能"),$L$8,NA())</x:f>
        <x:v>#N/A</x:v>
      </x:c>
      <x:c r="Q262" s="21"/>
    </x:row>
    <x:row r="263" ht="21" customHeight="1">
      <x:c r="A263" s="21"/>
      <x:c r="B263" s="21"/>
      <x:c r="C263" s="21"/>
      <x:c r="D263" s="21"/>
      <x:c r="E263" s="21"/>
      <x:c r="F263" s="21"/>
      <x:c r="G263" s="102" t="e">
        <x:f>IF(194&lt;=$H$10,194,NA())</x:f>
        <x:v>#N/A</x:v>
      </x:c>
      <x:c r="H263" s="103" t="e">
        <x:f>IF(AND(ISNUMBER(B211),$H$12="計算可能"),B211,NA())</x:f>
        <x:v>#N/A</x:v>
      </x:c>
      <x:c r="I263" s="103" t="e">
        <x:f>IF(AND(194&lt;=$H$10,$H$12="計算可能"),$H$6,NA())</x:f>
        <x:v>#N/A</x:v>
      </x:c>
      <x:c r="J263" s="103" t="e">
        <x:f>IF(AND(194&lt;=$H$10,$H$12="計算可能"),$H$7,NA())</x:f>
        <x:v>#N/A</x:v>
      </x:c>
      <x:c r="K263" s="103" t="e">
        <x:f>IF(AND(194&lt;=$H$10,$H$12="計算可能"),$H$8,NA())</x:f>
        <x:v>#N/A</x:v>
      </x:c>
      <x:c r="L263" s="102" t="e">
        <x:f>IF(194&lt;=$H$10,194,NA())</x:f>
        <x:v>#N/A</x:v>
      </x:c>
      <x:c r="M263" s="103" t="e">
        <x:f>IF(AND(ISNUMBER(C211),$H$12="計算可能"),C211,NA())</x:f>
        <x:v>#N/A</x:v>
      </x:c>
      <x:c r="N263" s="103" t="e">
        <x:f>IF(AND(194&lt;=$H$10,$H$12="計算可能"),$L$6,NA())</x:f>
        <x:v>#N/A</x:v>
      </x:c>
      <x:c r="O263" s="103" t="e">
        <x:f>IF(AND(194&lt;=$H$10,$H$12="計算可能"),$L$7,NA())</x:f>
        <x:v>#N/A</x:v>
      </x:c>
      <x:c r="P263" s="103" t="e">
        <x:f>IF(AND(194&lt;=$H$10,$H$12="計算可能"),$L$8,NA())</x:f>
        <x:v>#N/A</x:v>
      </x:c>
      <x:c r="Q263" s="21"/>
    </x:row>
    <x:row r="264" ht="21" customHeight="1">
      <x:c r="A264" s="21"/>
      <x:c r="B264" s="21"/>
      <x:c r="C264" s="21"/>
      <x:c r="D264" s="21"/>
      <x:c r="E264" s="21"/>
      <x:c r="F264" s="21"/>
      <x:c r="G264" s="102" t="e">
        <x:f>IF(195&lt;=$H$10,195,NA())</x:f>
        <x:v>#N/A</x:v>
      </x:c>
      <x:c r="H264" s="103" t="e">
        <x:f>IF(AND(ISNUMBER(B212),$H$12="計算可能"),B212,NA())</x:f>
        <x:v>#N/A</x:v>
      </x:c>
      <x:c r="I264" s="103" t="e">
        <x:f>IF(AND(195&lt;=$H$10,$H$12="計算可能"),$H$6,NA())</x:f>
        <x:v>#N/A</x:v>
      </x:c>
      <x:c r="J264" s="103" t="e">
        <x:f>IF(AND(195&lt;=$H$10,$H$12="計算可能"),$H$7,NA())</x:f>
        <x:v>#N/A</x:v>
      </x:c>
      <x:c r="K264" s="103" t="e">
        <x:f>IF(AND(195&lt;=$H$10,$H$12="計算可能"),$H$8,NA())</x:f>
        <x:v>#N/A</x:v>
      </x:c>
      <x:c r="L264" s="102" t="e">
        <x:f>IF(195&lt;=$H$10,195,NA())</x:f>
        <x:v>#N/A</x:v>
      </x:c>
      <x:c r="M264" s="103" t="e">
        <x:f>IF(AND(ISNUMBER(C212),$H$12="計算可能"),C212,NA())</x:f>
        <x:v>#N/A</x:v>
      </x:c>
      <x:c r="N264" s="103" t="e">
        <x:f>IF(AND(195&lt;=$H$10,$H$12="計算可能"),$L$6,NA())</x:f>
        <x:v>#N/A</x:v>
      </x:c>
      <x:c r="O264" s="103" t="e">
        <x:f>IF(AND(195&lt;=$H$10,$H$12="計算可能"),$L$7,NA())</x:f>
        <x:v>#N/A</x:v>
      </x:c>
      <x:c r="P264" s="103" t="e">
        <x:f>IF(AND(195&lt;=$H$10,$H$12="計算可能"),$L$8,NA())</x:f>
        <x:v>#N/A</x:v>
      </x:c>
      <x:c r="Q264" s="21"/>
    </x:row>
    <x:row r="265" ht="21" customHeight="1">
      <x:c r="A265" s="21"/>
      <x:c r="B265" s="21"/>
      <x:c r="C265" s="21"/>
      <x:c r="D265" s="21"/>
      <x:c r="E265" s="21"/>
      <x:c r="F265" s="21"/>
      <x:c r="G265" s="102" t="e">
        <x:f>IF(196&lt;=$H$10,196,NA())</x:f>
        <x:v>#N/A</x:v>
      </x:c>
      <x:c r="H265" s="103" t="e">
        <x:f>IF(AND(ISNUMBER(B213),$H$12="計算可能"),B213,NA())</x:f>
        <x:v>#N/A</x:v>
      </x:c>
      <x:c r="I265" s="103" t="e">
        <x:f>IF(AND(196&lt;=$H$10,$H$12="計算可能"),$H$6,NA())</x:f>
        <x:v>#N/A</x:v>
      </x:c>
      <x:c r="J265" s="103" t="e">
        <x:f>IF(AND(196&lt;=$H$10,$H$12="計算可能"),$H$7,NA())</x:f>
        <x:v>#N/A</x:v>
      </x:c>
      <x:c r="K265" s="103" t="e">
        <x:f>IF(AND(196&lt;=$H$10,$H$12="計算可能"),$H$8,NA())</x:f>
        <x:v>#N/A</x:v>
      </x:c>
      <x:c r="L265" s="102" t="e">
        <x:f>IF(196&lt;=$H$10,196,NA())</x:f>
        <x:v>#N/A</x:v>
      </x:c>
      <x:c r="M265" s="103" t="e">
        <x:f>IF(AND(ISNUMBER(C213),$H$12="計算可能"),C213,NA())</x:f>
        <x:v>#N/A</x:v>
      </x:c>
      <x:c r="N265" s="103" t="e">
        <x:f>IF(AND(196&lt;=$H$10,$H$12="計算可能"),$L$6,NA())</x:f>
        <x:v>#N/A</x:v>
      </x:c>
      <x:c r="O265" s="103" t="e">
        <x:f>IF(AND(196&lt;=$H$10,$H$12="計算可能"),$L$7,NA())</x:f>
        <x:v>#N/A</x:v>
      </x:c>
      <x:c r="P265" s="103" t="e">
        <x:f>IF(AND(196&lt;=$H$10,$H$12="計算可能"),$L$8,NA())</x:f>
        <x:v>#N/A</x:v>
      </x:c>
      <x:c r="Q265" s="21"/>
    </x:row>
    <x:row r="266" ht="21" customHeight="1">
      <x:c r="A266" s="21"/>
      <x:c r="B266" s="21"/>
      <x:c r="C266" s="21"/>
      <x:c r="D266" s="21"/>
      <x:c r="E266" s="21"/>
      <x:c r="F266" s="21"/>
      <x:c r="G266" s="102" t="e">
        <x:f>IF(197&lt;=$H$10,197,NA())</x:f>
        <x:v>#N/A</x:v>
      </x:c>
      <x:c r="H266" s="103" t="e">
        <x:f>IF(AND(ISNUMBER(B214),$H$12="計算可能"),B214,NA())</x:f>
        <x:v>#N/A</x:v>
      </x:c>
      <x:c r="I266" s="103" t="e">
        <x:f>IF(AND(197&lt;=$H$10,$H$12="計算可能"),$H$6,NA())</x:f>
        <x:v>#N/A</x:v>
      </x:c>
      <x:c r="J266" s="103" t="e">
        <x:f>IF(AND(197&lt;=$H$10,$H$12="計算可能"),$H$7,NA())</x:f>
        <x:v>#N/A</x:v>
      </x:c>
      <x:c r="K266" s="103" t="e">
        <x:f>IF(AND(197&lt;=$H$10,$H$12="計算可能"),$H$8,NA())</x:f>
        <x:v>#N/A</x:v>
      </x:c>
      <x:c r="L266" s="102" t="e">
        <x:f>IF(197&lt;=$H$10,197,NA())</x:f>
        <x:v>#N/A</x:v>
      </x:c>
      <x:c r="M266" s="103" t="e">
        <x:f>IF(AND(ISNUMBER(C214),$H$12="計算可能"),C214,NA())</x:f>
        <x:v>#N/A</x:v>
      </x:c>
      <x:c r="N266" s="103" t="e">
        <x:f>IF(AND(197&lt;=$H$10,$H$12="計算可能"),$L$6,NA())</x:f>
        <x:v>#N/A</x:v>
      </x:c>
      <x:c r="O266" s="103" t="e">
        <x:f>IF(AND(197&lt;=$H$10,$H$12="計算可能"),$L$7,NA())</x:f>
        <x:v>#N/A</x:v>
      </x:c>
      <x:c r="P266" s="103" t="e">
        <x:f>IF(AND(197&lt;=$H$10,$H$12="計算可能"),$L$8,NA())</x:f>
        <x:v>#N/A</x:v>
      </x:c>
      <x:c r="Q266" s="21"/>
    </x:row>
    <x:row r="267" ht="21" customHeight="1">
      <x:c r="A267" s="21"/>
      <x:c r="B267" s="21"/>
      <x:c r="C267" s="21"/>
      <x:c r="D267" s="21"/>
      <x:c r="E267" s="21"/>
      <x:c r="F267" s="21"/>
      <x:c r="G267" s="102" t="e">
        <x:f>IF(198&lt;=$H$10,198,NA())</x:f>
        <x:v>#N/A</x:v>
      </x:c>
      <x:c r="H267" s="103" t="e">
        <x:f>IF(AND(ISNUMBER(B215),$H$12="計算可能"),B215,NA())</x:f>
        <x:v>#N/A</x:v>
      </x:c>
      <x:c r="I267" s="103" t="e">
        <x:f>IF(AND(198&lt;=$H$10,$H$12="計算可能"),$H$6,NA())</x:f>
        <x:v>#N/A</x:v>
      </x:c>
      <x:c r="J267" s="103" t="e">
        <x:f>IF(AND(198&lt;=$H$10,$H$12="計算可能"),$H$7,NA())</x:f>
        <x:v>#N/A</x:v>
      </x:c>
      <x:c r="K267" s="103" t="e">
        <x:f>IF(AND(198&lt;=$H$10,$H$12="計算可能"),$H$8,NA())</x:f>
        <x:v>#N/A</x:v>
      </x:c>
      <x:c r="L267" s="102" t="e">
        <x:f>IF(198&lt;=$H$10,198,NA())</x:f>
        <x:v>#N/A</x:v>
      </x:c>
      <x:c r="M267" s="103" t="e">
        <x:f>IF(AND(ISNUMBER(C215),$H$12="計算可能"),C215,NA())</x:f>
        <x:v>#N/A</x:v>
      </x:c>
      <x:c r="N267" s="103" t="e">
        <x:f>IF(AND(198&lt;=$H$10,$H$12="計算可能"),$L$6,NA())</x:f>
        <x:v>#N/A</x:v>
      </x:c>
      <x:c r="O267" s="103" t="e">
        <x:f>IF(AND(198&lt;=$H$10,$H$12="計算可能"),$L$7,NA())</x:f>
        <x:v>#N/A</x:v>
      </x:c>
      <x:c r="P267" s="103" t="e">
        <x:f>IF(AND(198&lt;=$H$10,$H$12="計算可能"),$L$8,NA())</x:f>
        <x:v>#N/A</x:v>
      </x:c>
      <x:c r="Q267" s="21"/>
    </x:row>
    <x:row r="268" ht="21" customHeight="1">
      <x:c r="A268" s="21"/>
      <x:c r="B268" s="21"/>
      <x:c r="C268" s="21"/>
      <x:c r="D268" s="21"/>
      <x:c r="E268" s="21"/>
      <x:c r="F268" s="21"/>
      <x:c r="G268" s="102" t="e">
        <x:f>IF(199&lt;=$H$10,199,NA())</x:f>
        <x:v>#N/A</x:v>
      </x:c>
      <x:c r="H268" s="103" t="e">
        <x:f>IF(AND(ISNUMBER(B216),$H$12="計算可能"),B216,NA())</x:f>
        <x:v>#N/A</x:v>
      </x:c>
      <x:c r="I268" s="103" t="e">
        <x:f>IF(AND(199&lt;=$H$10,$H$12="計算可能"),$H$6,NA())</x:f>
        <x:v>#N/A</x:v>
      </x:c>
      <x:c r="J268" s="103" t="e">
        <x:f>IF(AND(199&lt;=$H$10,$H$12="計算可能"),$H$7,NA())</x:f>
        <x:v>#N/A</x:v>
      </x:c>
      <x:c r="K268" s="103" t="e">
        <x:f>IF(AND(199&lt;=$H$10,$H$12="計算可能"),$H$8,NA())</x:f>
        <x:v>#N/A</x:v>
      </x:c>
      <x:c r="L268" s="102" t="e">
        <x:f>IF(199&lt;=$H$10,199,NA())</x:f>
        <x:v>#N/A</x:v>
      </x:c>
      <x:c r="M268" s="103" t="e">
        <x:f>IF(AND(ISNUMBER(C216),$H$12="計算可能"),C216,NA())</x:f>
        <x:v>#N/A</x:v>
      </x:c>
      <x:c r="N268" s="103" t="e">
        <x:f>IF(AND(199&lt;=$H$10,$H$12="計算可能"),$L$6,NA())</x:f>
        <x:v>#N/A</x:v>
      </x:c>
      <x:c r="O268" s="103" t="e">
        <x:f>IF(AND(199&lt;=$H$10,$H$12="計算可能"),$L$7,NA())</x:f>
        <x:v>#N/A</x:v>
      </x:c>
      <x:c r="P268" s="103" t="e">
        <x:f>IF(AND(199&lt;=$H$10,$H$12="計算可能"),$L$8,NA())</x:f>
        <x:v>#N/A</x:v>
      </x:c>
      <x:c r="Q268" s="21"/>
    </x:row>
    <x:row r="269" ht="21" customHeight="1">
      <x:c r="A269" s="21"/>
      <x:c r="B269" s="21"/>
      <x:c r="C269" s="21"/>
      <x:c r="D269" s="21"/>
      <x:c r="E269" s="21"/>
      <x:c r="F269" s="21"/>
      <x:c r="G269" s="102" t="e">
        <x:f>IF(200&lt;=$H$10,200,NA())</x:f>
        <x:v>#N/A</x:v>
      </x:c>
      <x:c r="H269" s="103" t="e">
        <x:f>IF(AND(ISNUMBER(B217),$H$12="計算可能"),B217,NA())</x:f>
        <x:v>#N/A</x:v>
      </x:c>
      <x:c r="I269" s="103" t="e">
        <x:f>IF(AND(200&lt;=$H$10,$H$12="計算可能"),$H$6,NA())</x:f>
        <x:v>#N/A</x:v>
      </x:c>
      <x:c r="J269" s="103" t="e">
        <x:f>IF(AND(200&lt;=$H$10,$H$12="計算可能"),$H$7,NA())</x:f>
        <x:v>#N/A</x:v>
      </x:c>
      <x:c r="K269" s="103" t="e">
        <x:f>IF(AND(200&lt;=$H$10,$H$12="計算可能"),$H$8,NA())</x:f>
        <x:v>#N/A</x:v>
      </x:c>
      <x:c r="L269" s="102" t="e">
        <x:f>IF(200&lt;=$H$10,200,NA())</x:f>
        <x:v>#N/A</x:v>
      </x:c>
      <x:c r="M269" s="103" t="e">
        <x:f>IF(AND(ISNUMBER(C217),$H$12="計算可能"),C217,NA())</x:f>
        <x:v>#N/A</x:v>
      </x:c>
      <x:c r="N269" s="103" t="e">
        <x:f>IF(AND(200&lt;=$H$10,$H$12="計算可能"),$L$6,NA())</x:f>
        <x:v>#N/A</x:v>
      </x:c>
      <x:c r="O269" s="103" t="e">
        <x:f>IF(AND(200&lt;=$H$10,$H$12="計算可能"),$L$7,NA())</x:f>
        <x:v>#N/A</x:v>
      </x:c>
      <x:c r="P269" s="103" t="e">
        <x:f>IF(AND(200&lt;=$H$10,$H$12="計算可能"),$L$8,NA())</x:f>
        <x:v>#N/A</x:v>
      </x:c>
      <x:c r="Q269" s="21"/>
    </x:row>
  </x:sheetData>
  <x:mergeCells>
    <x:mergeCell ref="A1:Q1"/>
    <x:mergeCell ref="A3:Q3"/>
    <x:mergeCell ref="H12:Q12"/>
    <x:mergeCell ref="A5:E6"/>
    <x:mergeCell ref="A8:E9"/>
    <x:mergeCell ref="A11:E12"/>
    <x:mergeCell ref="A14:Q15"/>
    <x:mergeCell ref="G53:Q54"/>
    <x:mergeCell ref="G56:Q57"/>
    <x:mergeCell ref="G59:Q60"/>
    <x:mergeCell ref="G62:Q63"/>
    <x:mergeCell ref="G66:Q67"/>
  </x:mergeCells>
  <x:conditionalFormatting sqref="H12:Q12">
    <x:cfRule type="expression" dxfId="1" priority="2">
      <x:formula>$H$12&lt;&gt;"計算可能"</x:formula>
    </x:cfRule>
  </x:conditionalFormatting>
  <x:conditionalFormatting sqref="D18:E217">
    <x:cfRule type="containsText" dxfId="2" priority="3" operator="containsText" text="管理外"/>
  </x:conditionalFormatting>
  <x:pageMargins left="0.7" right="0.7" top="0.75" bottom="0.75" header="0.3" footer="0.3"/>
  <x:drawing xmlns:r="http://schemas.openxmlformats.org/officeDocument/2006/relationships" r:id="R49873b0ddd9940c6"/>
</x:worksheet>
</file>